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tesilliman/Desktop/"/>
    </mc:Choice>
  </mc:AlternateContent>
  <xr:revisionPtr revIDLastSave="0" documentId="13_ncr:1_{68D37DA2-1056-544A-A7C8-73A2466B5296}" xr6:coauthVersionLast="36" xr6:coauthVersionMax="36" xr10:uidLastSave="{00000000-0000-0000-0000-000000000000}"/>
  <bookViews>
    <workbookView xWindow="0" yWindow="480" windowWidth="38400" windowHeight="21140" xr2:uid="{00000000-000D-0000-FFFF-FFFF00000000}"/>
  </bookViews>
  <sheets>
    <sheet name="TCO Model" sheetId="1" r:id="rId1"/>
    <sheet name="Scenarios" sheetId="2" r:id="rId2"/>
    <sheet name="Inputs &amp; Assumptions" sheetId="3" r:id="rId3"/>
  </sheets>
  <calcPr calcId="162913"/>
</workbook>
</file>

<file path=xl/calcChain.xml><?xml version="1.0" encoding="utf-8"?>
<calcChain xmlns="http://schemas.openxmlformats.org/spreadsheetml/2006/main">
  <c r="G59" i="3" l="1"/>
  <c r="E58" i="3"/>
  <c r="D58" i="3"/>
  <c r="F58" i="3" s="1"/>
  <c r="G58" i="3" s="1"/>
  <c r="G53" i="3"/>
  <c r="F53" i="3"/>
  <c r="G52" i="3"/>
  <c r="F52" i="3"/>
  <c r="G51" i="3"/>
  <c r="F51" i="3"/>
  <c r="G50" i="3"/>
  <c r="F50" i="3"/>
  <c r="G49" i="3"/>
  <c r="F49" i="3"/>
  <c r="G48" i="3"/>
  <c r="F48" i="3"/>
  <c r="B38" i="3"/>
  <c r="B34" i="3"/>
  <c r="C20" i="3"/>
  <c r="C21" i="3" s="1"/>
  <c r="C15" i="3"/>
  <c r="C14" i="3"/>
  <c r="C18" i="3" s="1"/>
  <c r="D10" i="3"/>
  <c r="C90" i="2"/>
  <c r="M34" i="2"/>
  <c r="L34" i="2"/>
  <c r="K34" i="2"/>
  <c r="C32" i="2"/>
  <c r="M24" i="2"/>
  <c r="L24" i="2"/>
  <c r="K24" i="2"/>
  <c r="C12" i="2"/>
  <c r="H8" i="2"/>
  <c r="D8" i="2"/>
  <c r="H7" i="2"/>
  <c r="D7" i="2"/>
  <c r="I105" i="1"/>
  <c r="H105" i="1"/>
  <c r="G105" i="1"/>
  <c r="G106" i="1" s="1"/>
  <c r="F105" i="1"/>
  <c r="E105" i="1"/>
  <c r="D105" i="1"/>
  <c r="D106" i="1" s="1"/>
  <c r="I104" i="1"/>
  <c r="I106" i="1" s="1"/>
  <c r="D104" i="1"/>
  <c r="I91" i="1"/>
  <c r="F91" i="1"/>
  <c r="E91" i="1"/>
  <c r="I89" i="1"/>
  <c r="H89" i="1"/>
  <c r="H91" i="1" s="1"/>
  <c r="G89" i="1"/>
  <c r="G91" i="1" s="1"/>
  <c r="F89" i="1"/>
  <c r="E89" i="1"/>
  <c r="D89" i="1"/>
  <c r="D91" i="1" s="1"/>
  <c r="H76" i="1"/>
  <c r="I76" i="1" s="1"/>
  <c r="I77" i="1" s="1"/>
  <c r="E73" i="1"/>
  <c r="E74" i="1" s="1"/>
  <c r="I71" i="1"/>
  <c r="H71" i="1"/>
  <c r="H104" i="1" s="1"/>
  <c r="F71" i="1"/>
  <c r="F104" i="1" s="1"/>
  <c r="F106" i="1" s="1"/>
  <c r="E71" i="1"/>
  <c r="E104" i="1" s="1"/>
  <c r="E106" i="1" s="1"/>
  <c r="D71" i="1"/>
  <c r="I66" i="1"/>
  <c r="I65" i="1"/>
  <c r="I67" i="1" s="1"/>
  <c r="E60" i="1"/>
  <c r="F56" i="1"/>
  <c r="E56" i="1"/>
  <c r="I54" i="1"/>
  <c r="H54" i="1"/>
  <c r="D52" i="1"/>
  <c r="I50" i="1"/>
  <c r="I51" i="1" s="1"/>
  <c r="D50" i="1"/>
  <c r="F48" i="1"/>
  <c r="E48" i="1"/>
  <c r="E49" i="1" s="1"/>
  <c r="E54" i="1" s="1"/>
  <c r="H45" i="1"/>
  <c r="G45" i="1"/>
  <c r="I44" i="1"/>
  <c r="I45" i="1" s="1"/>
  <c r="I73" i="1" s="1"/>
  <c r="I74" i="1" s="1"/>
  <c r="I78" i="1" s="1"/>
  <c r="I79" i="1" s="1"/>
  <c r="H44" i="1"/>
  <c r="G44" i="1"/>
  <c r="F44" i="1"/>
  <c r="F45" i="1" s="1"/>
  <c r="E44" i="1"/>
  <c r="E45" i="1" s="1"/>
  <c r="E57" i="1" s="1"/>
  <c r="E58" i="1" s="1"/>
  <c r="D44" i="1"/>
  <c r="G43" i="1"/>
  <c r="F43" i="1"/>
  <c r="I42" i="1"/>
  <c r="I43" i="1" s="1"/>
  <c r="H42" i="1"/>
  <c r="H43" i="1" s="1"/>
  <c r="G42" i="1"/>
  <c r="F42" i="1"/>
  <c r="E42" i="1"/>
  <c r="E43" i="1" s="1"/>
  <c r="D42" i="1"/>
  <c r="D43" i="1" s="1"/>
  <c r="I31" i="1"/>
  <c r="F30" i="1"/>
  <c r="D30" i="1"/>
  <c r="I28" i="1"/>
  <c r="F28" i="1"/>
  <c r="F33" i="1" s="1"/>
  <c r="E28" i="1"/>
  <c r="E31" i="1" s="1"/>
  <c r="I27" i="1"/>
  <c r="H27" i="1"/>
  <c r="H30" i="1" s="1"/>
  <c r="G27" i="1"/>
  <c r="G28" i="1" s="1"/>
  <c r="F27" i="1"/>
  <c r="E27" i="1"/>
  <c r="E30" i="1" s="1"/>
  <c r="D27" i="1"/>
  <c r="D28" i="1" s="1"/>
  <c r="I24" i="1"/>
  <c r="H24" i="1"/>
  <c r="G24" i="1"/>
  <c r="F24" i="1"/>
  <c r="E24" i="1"/>
  <c r="D24" i="1"/>
  <c r="I22" i="1"/>
  <c r="H22" i="1"/>
  <c r="G22" i="1"/>
  <c r="F22" i="1"/>
  <c r="E22" i="1"/>
  <c r="E76" i="1" s="1"/>
  <c r="D22" i="1"/>
  <c r="D76" i="1" s="1"/>
  <c r="C17" i="1"/>
  <c r="G33" i="1" l="1"/>
  <c r="G32" i="1"/>
  <c r="I80" i="1"/>
  <c r="I120" i="1"/>
  <c r="G153" i="1" s="1"/>
  <c r="I109" i="1"/>
  <c r="F73" i="1"/>
  <c r="F74" i="1" s="1"/>
  <c r="E78" i="1"/>
  <c r="E79" i="1" s="1"/>
  <c r="E80" i="1" s="1"/>
  <c r="E75" i="1"/>
  <c r="E61" i="1"/>
  <c r="E62" i="1" s="1"/>
  <c r="E59" i="1"/>
  <c r="D33" i="1"/>
  <c r="D34" i="1" s="1"/>
  <c r="D31" i="1"/>
  <c r="I33" i="1"/>
  <c r="I34" i="1" s="1"/>
  <c r="D51" i="1"/>
  <c r="F57" i="1"/>
  <c r="F58" i="1" s="1"/>
  <c r="E77" i="1"/>
  <c r="E33" i="1"/>
  <c r="E34" i="1" s="1"/>
  <c r="H57" i="1"/>
  <c r="H58" i="1" s="1"/>
  <c r="H73" i="1"/>
  <c r="H74" i="1" s="1"/>
  <c r="I75" i="1"/>
  <c r="D45" i="1"/>
  <c r="H106" i="1"/>
  <c r="F32" i="1"/>
  <c r="F34" i="1" s="1"/>
  <c r="F49" i="1"/>
  <c r="F54" i="1" s="1"/>
  <c r="F76" i="1"/>
  <c r="H28" i="1"/>
  <c r="G73" i="1"/>
  <c r="G74" i="1" s="1"/>
  <c r="G57" i="1"/>
  <c r="G58" i="1" s="1"/>
  <c r="C17" i="3"/>
  <c r="C22" i="3"/>
  <c r="F36" i="1" l="1"/>
  <c r="F35" i="1"/>
  <c r="F92" i="1" s="1"/>
  <c r="F94" i="1" s="1"/>
  <c r="F95" i="1" s="1"/>
  <c r="H33" i="1"/>
  <c r="H31" i="1"/>
  <c r="H75" i="1"/>
  <c r="H78" i="1"/>
  <c r="H79" i="1" s="1"/>
  <c r="H80" i="1" s="1"/>
  <c r="F59" i="1"/>
  <c r="F60" i="1"/>
  <c r="F61" i="1"/>
  <c r="F62" i="1" s="1"/>
  <c r="F63" i="1" s="1"/>
  <c r="F65" i="1" s="1"/>
  <c r="F67" i="1" s="1"/>
  <c r="D36" i="1"/>
  <c r="D35" i="1"/>
  <c r="D92" i="1" s="1"/>
  <c r="D94" i="1" s="1"/>
  <c r="D95" i="1" s="1"/>
  <c r="F77" i="1"/>
  <c r="G76" i="1"/>
  <c r="G77" i="1" s="1"/>
  <c r="D73" i="1"/>
  <c r="D74" i="1" s="1"/>
  <c r="D53" i="1"/>
  <c r="D54" i="1" s="1"/>
  <c r="H59" i="1"/>
  <c r="H61" i="1"/>
  <c r="H62" i="1" s="1"/>
  <c r="H63" i="1" s="1"/>
  <c r="H60" i="1"/>
  <c r="E82" i="1"/>
  <c r="E81" i="1"/>
  <c r="E122" i="1" s="1"/>
  <c r="E155" i="1" s="1"/>
  <c r="G34" i="1"/>
  <c r="G61" i="1"/>
  <c r="G62" i="1" s="1"/>
  <c r="G60" i="1"/>
  <c r="G59" i="1"/>
  <c r="F66" i="1"/>
  <c r="H77" i="1"/>
  <c r="E36" i="1"/>
  <c r="E35" i="1"/>
  <c r="E92" i="1" s="1"/>
  <c r="E94" i="1" s="1"/>
  <c r="E95" i="1" s="1"/>
  <c r="I36" i="1"/>
  <c r="I35" i="1"/>
  <c r="I92" i="1" s="1"/>
  <c r="I94" i="1" s="1"/>
  <c r="I95" i="1" s="1"/>
  <c r="E63" i="1"/>
  <c r="G75" i="1"/>
  <c r="G78" i="1"/>
  <c r="G79" i="1" s="1"/>
  <c r="G80" i="1" s="1"/>
  <c r="F78" i="1"/>
  <c r="F79" i="1" s="1"/>
  <c r="F75" i="1"/>
  <c r="I82" i="1"/>
  <c r="I84" i="1" s="1"/>
  <c r="I81" i="1"/>
  <c r="I122" i="1" s="1"/>
  <c r="G155" i="1" s="1"/>
  <c r="G81" i="1" l="1"/>
  <c r="G122" i="1" s="1"/>
  <c r="G82" i="1"/>
  <c r="I108" i="1"/>
  <c r="I119" i="1"/>
  <c r="F120" i="1"/>
  <c r="F109" i="1"/>
  <c r="G35" i="1"/>
  <c r="G92" i="1" s="1"/>
  <c r="G94" i="1" s="1"/>
  <c r="G95" i="1" s="1"/>
  <c r="G36" i="1"/>
  <c r="D78" i="1"/>
  <c r="D79" i="1" s="1"/>
  <c r="D80" i="1" s="1"/>
  <c r="D75" i="1"/>
  <c r="D77" i="1"/>
  <c r="D119" i="1"/>
  <c r="D108" i="1"/>
  <c r="H82" i="1"/>
  <c r="H84" i="1" s="1"/>
  <c r="H81" i="1"/>
  <c r="H122" i="1" s="1"/>
  <c r="F155" i="1" s="1"/>
  <c r="F110" i="1"/>
  <c r="F121" i="1"/>
  <c r="E110" i="1"/>
  <c r="E121" i="1"/>
  <c r="E154" i="1" s="1"/>
  <c r="H65" i="1"/>
  <c r="H67" i="1" s="1"/>
  <c r="H66" i="1"/>
  <c r="F108" i="1"/>
  <c r="F119" i="1"/>
  <c r="E65" i="1"/>
  <c r="E67" i="1" s="1"/>
  <c r="E66" i="1"/>
  <c r="E108" i="1"/>
  <c r="E119" i="1"/>
  <c r="F80" i="1"/>
  <c r="I110" i="1"/>
  <c r="I111" i="1" s="1"/>
  <c r="I114" i="1" s="1"/>
  <c r="I121" i="1"/>
  <c r="G154" i="1" s="1"/>
  <c r="G63" i="1"/>
  <c r="E84" i="1"/>
  <c r="D66" i="1"/>
  <c r="D65" i="1"/>
  <c r="D67" i="1" s="1"/>
  <c r="D121" i="1"/>
  <c r="D154" i="1" s="1"/>
  <c r="D110" i="1"/>
  <c r="H34" i="1"/>
  <c r="F111" i="1" l="1"/>
  <c r="F114" i="1" s="1"/>
  <c r="H35" i="1"/>
  <c r="H92" i="1" s="1"/>
  <c r="H94" i="1" s="1"/>
  <c r="H95" i="1" s="1"/>
  <c r="H36" i="1"/>
  <c r="D109" i="1"/>
  <c r="D111" i="1" s="1"/>
  <c r="D120" i="1"/>
  <c r="D153" i="1" s="1"/>
  <c r="E120" i="1"/>
  <c r="E153" i="1" s="1"/>
  <c r="E109" i="1"/>
  <c r="E111" i="1" s="1"/>
  <c r="E114" i="1" s="1"/>
  <c r="H109" i="1"/>
  <c r="H120" i="1"/>
  <c r="F153" i="1" s="1"/>
  <c r="D81" i="1"/>
  <c r="D122" i="1" s="1"/>
  <c r="D155" i="1" s="1"/>
  <c r="C23" i="2" s="1"/>
  <c r="D82" i="1"/>
  <c r="D84" i="1" s="1"/>
  <c r="J84" i="1" s="1"/>
  <c r="F81" i="1"/>
  <c r="F122" i="1" s="1"/>
  <c r="F82" i="1"/>
  <c r="F84" i="1" s="1"/>
  <c r="D152" i="1"/>
  <c r="D123" i="1"/>
  <c r="G119" i="1"/>
  <c r="G108" i="1"/>
  <c r="G152" i="1"/>
  <c r="I123" i="1"/>
  <c r="H11" i="2" s="1"/>
  <c r="G66" i="1"/>
  <c r="G65" i="1"/>
  <c r="G67" i="1" s="1"/>
  <c r="E123" i="1"/>
  <c r="D11" i="2" s="1"/>
  <c r="E152" i="1"/>
  <c r="F123" i="1"/>
  <c r="E11" i="2" s="1"/>
  <c r="G121" i="1"/>
  <c r="G110" i="1"/>
  <c r="F124" i="1" l="1"/>
  <c r="E12" i="2" s="1"/>
  <c r="C11" i="2"/>
  <c r="C91" i="2" s="1"/>
  <c r="E124" i="1"/>
  <c r="I124" i="1"/>
  <c r="H12" i="2" s="1"/>
  <c r="H119" i="1"/>
  <c r="H108" i="1"/>
  <c r="H121" i="1"/>
  <c r="F154" i="1" s="1"/>
  <c r="H110" i="1"/>
  <c r="G109" i="1"/>
  <c r="G111" i="1" s="1"/>
  <c r="G114" i="1" s="1"/>
  <c r="G120" i="1"/>
  <c r="G123" i="1"/>
  <c r="F11" i="2" s="1"/>
  <c r="H111" i="1"/>
  <c r="H114" i="1" s="1"/>
  <c r="F112" i="1"/>
  <c r="D114" i="1"/>
  <c r="G112" i="1"/>
  <c r="H112" i="1"/>
  <c r="E112" i="1"/>
  <c r="I112" i="1"/>
  <c r="E92" i="2" l="1"/>
  <c r="D92" i="2"/>
  <c r="F92" i="2"/>
  <c r="D12" i="2"/>
  <c r="F115" i="1"/>
  <c r="G115" i="1"/>
  <c r="H115" i="1"/>
  <c r="I115" i="1"/>
  <c r="E115" i="1"/>
  <c r="J115" i="1" s="1"/>
  <c r="J112" i="1"/>
  <c r="H123" i="1"/>
  <c r="F152" i="1"/>
  <c r="G124" i="1"/>
  <c r="F12" i="2" s="1"/>
  <c r="G11" i="2" l="1"/>
  <c r="H124" i="1"/>
  <c r="G12" i="2" l="1"/>
  <c r="J124" i="1"/>
</calcChain>
</file>

<file path=xl/sharedStrings.xml><?xml version="1.0" encoding="utf-8"?>
<sst xmlns="http://schemas.openxmlformats.org/spreadsheetml/2006/main" count="432" uniqueCount="200">
  <si>
    <t>License Fees</t>
  </si>
  <si>
    <t>Three-Year TCO Results</t>
  </si>
  <si>
    <t>Error Rate by Solution</t>
  </si>
  <si>
    <t>Output Area</t>
  </si>
  <si>
    <t>Vendor Fees (as listed)</t>
  </si>
  <si>
    <t>GLYNT</t>
  </si>
  <si>
    <t>Zonal OCR</t>
  </si>
  <si>
    <t>Full-Text OCR</t>
  </si>
  <si>
    <t>PDF Scripts</t>
  </si>
  <si>
    <t>Human Data Entry (1 team)</t>
  </si>
  <si>
    <t>AWS Textract</t>
  </si>
  <si>
    <t>NOTES</t>
  </si>
  <si>
    <t>cents per page</t>
  </si>
  <si>
    <t>No of pages</t>
  </si>
  <si>
    <t>cents per field</t>
  </si>
  <si>
    <t>* AWS Textract error rate unknown as product is not yet available. Range of error rates tested, 5 - 12%. 8% is used as base case</t>
  </si>
  <si>
    <t>No of documents per month</t>
  </si>
  <si>
    <t>OCR</t>
  </si>
  <si>
    <t>Mechanical Turk</t>
  </si>
  <si>
    <t>2X Mech Turk</t>
  </si>
  <si>
    <t>No of fields</t>
  </si>
  <si>
    <t>No of publishers</t>
  </si>
  <si>
    <t xml:space="preserve">Fees per Standard Document </t>
  </si>
  <si>
    <t>Pages</t>
  </si>
  <si>
    <t>from TCO Model tab</t>
  </si>
  <si>
    <t>TCO per document</t>
  </si>
  <si>
    <t>Fields</t>
  </si>
  <si>
    <t>Cents/Document</t>
  </si>
  <si>
    <t>GLYNT Savings</t>
  </si>
  <si>
    <t>SCENARIOS</t>
  </si>
  <si>
    <t>Data Extraction Cost per Document</t>
  </si>
  <si>
    <t>Base Case</t>
  </si>
  <si>
    <t>Inputs for Documents and Publishers</t>
  </si>
  <si>
    <t>Additional Data Entry Inputs</t>
  </si>
  <si>
    <t>Standard Document</t>
  </si>
  <si>
    <t>SMB</t>
  </si>
  <si>
    <t>Commercial</t>
  </si>
  <si>
    <t>Enterprise</t>
  </si>
  <si>
    <t>Ground Truth Validation Set</t>
  </si>
  <si>
    <t>Documents</t>
  </si>
  <si>
    <t>Document Flow</t>
  </si>
  <si>
    <t>* Document setup is done once per three years</t>
  </si>
  <si>
    <t>* Maintanence takes 1/4 time of setup</t>
  </si>
  <si>
    <t>* Rework hours done by data entry team members</t>
  </si>
  <si>
    <t>* AWS Textract uses Mechanical Turk to set up Ground Truth</t>
  </si>
  <si>
    <t xml:space="preserve">Human Data Entry </t>
  </si>
  <si>
    <t>Fields per Hour</t>
  </si>
  <si>
    <t>Data Entry Hours per Supervisor Hour</t>
  </si>
  <si>
    <t>Documents per month</t>
  </si>
  <si>
    <t>Document per month</t>
  </si>
  <si>
    <t>OCR Application</t>
  </si>
  <si>
    <t>Publishers per month</t>
  </si>
  <si>
    <t>Implied AWS Mechanical Turk data entry expense per hour, at these productivity rates</t>
  </si>
  <si>
    <t xml:space="preserve">OCR Coverage of Document Flow </t>
  </si>
  <si>
    <t>Percent of documents with significant change in layout per year</t>
  </si>
  <si>
    <t>Percent of documents with significant change per month</t>
  </si>
  <si>
    <t>SOLUTION</t>
  </si>
  <si>
    <t>Setup Expense</t>
  </si>
  <si>
    <t>Type of Staff</t>
  </si>
  <si>
    <t>Full-text OCR</t>
  </si>
  <si>
    <t>* Remainder of fields entered by humans</t>
  </si>
  <si>
    <t>Data Entry Clerk</t>
  </si>
  <si>
    <t>Salary Expense Inputs and Data Sources</t>
  </si>
  <si>
    <t>SW Data Specialist</t>
  </si>
  <si>
    <t>Rate per hour</t>
  </si>
  <si>
    <t>Roles &amp; Salaries</t>
  </si>
  <si>
    <t>2017 Low</t>
  </si>
  <si>
    <t>Data Entry Supervisor</t>
  </si>
  <si>
    <t>2017 High</t>
  </si>
  <si>
    <t>Median + 5%</t>
  </si>
  <si>
    <t>Per Hour</t>
  </si>
  <si>
    <t>Used in TCO Model</t>
  </si>
  <si>
    <t>Project Manager</t>
  </si>
  <si>
    <t>Avg GLYNT Savings</t>
  </si>
  <si>
    <t>Manual QA Engineer</t>
  </si>
  <si>
    <t>QA Associate</t>
  </si>
  <si>
    <t>Systems Engineer</t>
  </si>
  <si>
    <t>Data Analyst</t>
  </si>
  <si>
    <t>Hours per Publisher</t>
  </si>
  <si>
    <t>EDI Specialist</t>
  </si>
  <si>
    <t>High Volume Case</t>
  </si>
  <si>
    <t>Total Publishers</t>
  </si>
  <si>
    <t>https://www.fosster.com/industry-reports/2017_RHT_salary-guide.pdf</t>
  </si>
  <si>
    <t>Total Hours</t>
  </si>
  <si>
    <t>Manual Data Entry</t>
  </si>
  <si>
    <t xml:space="preserve">Data Entry FTEs </t>
  </si>
  <si>
    <t>High Variety</t>
  </si>
  <si>
    <t>High Volume</t>
  </si>
  <si>
    <t>Number of document publishers</t>
  </si>
  <si>
    <t>Data Entry Expense</t>
  </si>
  <si>
    <t>Clerical Supervisor</t>
  </si>
  <si>
    <t>* AWS Ground Truth, 20 documents. For validation of Textract results</t>
  </si>
  <si>
    <t>SW Engineering Expense</t>
  </si>
  <si>
    <t>Glassdoor, as of December 2018</t>
  </si>
  <si>
    <t>Supervisor</t>
  </si>
  <si>
    <t>License Fee Data Sources</t>
  </si>
  <si>
    <t>Extraction Costs, as of December 2018</t>
  </si>
  <si>
    <t>cents per page, up to 1 mil per mo</t>
  </si>
  <si>
    <t>cents per page, thereafter</t>
  </si>
  <si>
    <t>Google OCR</t>
  </si>
  <si>
    <t>cents per page, up to 5 mil per mo</t>
  </si>
  <si>
    <t>Total Setup Expense</t>
  </si>
  <si>
    <t>cents per page thereafter</t>
  </si>
  <si>
    <t>Low Volume Case</t>
  </si>
  <si>
    <t>AWS OCR</t>
  </si>
  <si>
    <t>Abbyy OCR</t>
  </si>
  <si>
    <t>cents per page, up to 30,000 per mo</t>
  </si>
  <si>
    <t>Kofax OCR + Document Indexing</t>
  </si>
  <si>
    <t>cents per page, up to 100,000 per year</t>
  </si>
  <si>
    <t>as of December 2018</t>
  </si>
  <si>
    <t>Document is defined as 3 pages, 12 extracted fields</t>
  </si>
  <si>
    <t>https://www.ocrsdk.com/plans-and-pricing/</t>
  </si>
  <si>
    <t>1 receipt = 2 pages</t>
  </si>
  <si>
    <t>1 text field = 0.2 pages</t>
  </si>
  <si>
    <t>https://www.kofax.com/about/press-releases/2017/kofax-announces-first-year-free-offer-for-its-market-leading-information-capture-solutions</t>
  </si>
  <si>
    <t>High Variety Case</t>
  </si>
  <si>
    <t>https://cloud.google.com/vision/pricing</t>
  </si>
  <si>
    <t>Cost per Publisher</t>
  </si>
  <si>
    <t>https://aws.amazon.com/textract/pricing/</t>
  </si>
  <si>
    <t>https://aws.amazon.com/sagemaker/groundtruth/pricing/</t>
  </si>
  <si>
    <t>Cost per document, 3-year flow</t>
  </si>
  <si>
    <t>Large Number of Publishers</t>
  </si>
  <si>
    <t>Small Number of Publishers</t>
  </si>
  <si>
    <t>Large Number of Fields</t>
  </si>
  <si>
    <t>Extraction Expense</t>
  </si>
  <si>
    <t>Extraction Rate per month</t>
  </si>
  <si>
    <t>Large Scale Data Extraction</t>
  </si>
  <si>
    <t>No of Documents per mo</t>
  </si>
  <si>
    <t>No of Pages per mo</t>
  </si>
  <si>
    <t>AWS Textextract Error Rate</t>
  </si>
  <si>
    <t># fields per document</t>
  </si>
  <si>
    <t>AWS</t>
  </si>
  <si>
    <t>Total Fields</t>
  </si>
  <si>
    <t>Error Rate</t>
  </si>
  <si>
    <t>OCR license cents per page</t>
  </si>
  <si>
    <t>Total OCR cost</t>
  </si>
  <si>
    <t>ML Text Extract cents per page</t>
  </si>
  <si>
    <t>ML Expense</t>
  </si>
  <si>
    <t>ML Text Extract cents per field</t>
  </si>
  <si>
    <t>Total STP Expense</t>
  </si>
  <si>
    <t>*STP is Straight THrough Processing, no human touch</t>
  </si>
  <si>
    <t>Percent of Fields via Manual Data Entry</t>
  </si>
  <si>
    <t>Data Entry Fields</t>
  </si>
  <si>
    <t>Data Entry Hours</t>
  </si>
  <si>
    <t>Data Entry expense</t>
  </si>
  <si>
    <t>Data Entry FTE</t>
  </si>
  <si>
    <t>Supervisor Hours</t>
  </si>
  <si>
    <t>Supervisor Expense</t>
  </si>
  <si>
    <t>Total Human Processing Expense</t>
  </si>
  <si>
    <t>Total Exraction Expense per month</t>
  </si>
  <si>
    <t>Extraction Expense per Document</t>
  </si>
  <si>
    <t>Extraction Expense per Field</t>
  </si>
  <si>
    <t>Verification Expense</t>
  </si>
  <si>
    <t>Minutes to fix error, per field</t>
  </si>
  <si>
    <t>* Depends on technology</t>
  </si>
  <si>
    <t>No of Field Errors</t>
  </si>
  <si>
    <t>Total Fix Hours</t>
  </si>
  <si>
    <t>FTEs/mo</t>
  </si>
  <si>
    <t>Data Entry Fix Expense</t>
  </si>
  <si>
    <t>Total Rework Expense</t>
  </si>
  <si>
    <t>Rework Expense per Document</t>
  </si>
  <si>
    <t>Rework Expense per Field Corrected</t>
  </si>
  <si>
    <t>Rework Expense per Field / STP Expense per Field</t>
  </si>
  <si>
    <t>Average (exl pdf scripts)</t>
  </si>
  <si>
    <t>Maintenance Expense</t>
  </si>
  <si>
    <t>Annnual Rate of Document Change*</t>
  </si>
  <si>
    <t>Breakage Rate</t>
  </si>
  <si>
    <t>* Not all changes require intervention. Breakage rate is percent that do. Breakage rate depends on the technology</t>
  </si>
  <si>
    <t>#  Publishers to be Reset /mo</t>
  </si>
  <si>
    <t>Cost /publisher (1/4 setup)</t>
  </si>
  <si>
    <t>Total Maintanence Expense per month</t>
  </si>
  <si>
    <t>Maintanence Expense per document</t>
  </si>
  <si>
    <t>SUMMARY</t>
  </si>
  <si>
    <t>Extraction Only Results</t>
  </si>
  <si>
    <t>Straight-Through Processing Expense per Document</t>
  </si>
  <si>
    <t>Fields per document</t>
  </si>
  <si>
    <t>Total Fields Extracted Accurately</t>
  </si>
  <si>
    <t>Setup</t>
  </si>
  <si>
    <t xml:space="preserve">Extraction </t>
  </si>
  <si>
    <t xml:space="preserve">Maintanence </t>
  </si>
  <si>
    <t>Total Straight-Through Processing (STP)</t>
  </si>
  <si>
    <t>STP per Accurate Field</t>
  </si>
  <si>
    <t>Three-Year TCO Results ($ per document)</t>
  </si>
  <si>
    <t>Setup*</t>
  </si>
  <si>
    <t>Maintanence**</t>
  </si>
  <si>
    <t xml:space="preserve">Verification </t>
  </si>
  <si>
    <t>Total Three-Year TCO per Document</t>
  </si>
  <si>
    <t>* Amortized over three years of document flow</t>
  </si>
  <si>
    <t>** Annual expense, amortized over one year of document flow</t>
  </si>
  <si>
    <t>Data for Graph</t>
  </si>
  <si>
    <t>$/ document, 3-year TCO</t>
  </si>
  <si>
    <t>OCR = Zonal OCR</t>
  </si>
  <si>
    <t>Base Case (Linked)</t>
  </si>
  <si>
    <t>Human Data Entry</t>
  </si>
  <si>
    <t>Extraction</t>
  </si>
  <si>
    <t>Maintanence</t>
  </si>
  <si>
    <t>Rework</t>
  </si>
  <si>
    <t>Data Values Only</t>
  </si>
  <si>
    <t>Transposed Data Values</t>
  </si>
  <si>
    <t>Repair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</si>
</sst>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??_-;_-@"/>
    <numFmt numFmtId="165" formatCode="&quot;$&quot;#,##0.00"/>
    <numFmt numFmtId="166" formatCode="&quot;$&quot;#,##0.0000_);[Red]\(&quot;$&quot;#,##0.0000\)"/>
    <numFmt numFmtId="167" formatCode="_(* #,##0_);_(* \(#,##0\);_(* &quot;-&quot;??_);_(@_)"/>
    <numFmt numFmtId="168" formatCode="&quot;$&quot;#,##0.000_);[Red]\(&quot;$&quot;#,##0.000\)"/>
    <numFmt numFmtId="169" formatCode="&quot;$&quot;#,##0.0000000_);[Red]\(&quot;$&quot;#,##0.0000000\)"/>
    <numFmt numFmtId="170" formatCode="_-* #,##0.00_-;\-* #,##0.00_-;_-* &quot;-&quot;??.00_-;_-@"/>
    <numFmt numFmtId="171" formatCode="&quot;$&quot;#,##0.00000_);[Red]\(&quot;$&quot;#,##0.00000\)"/>
  </numFmts>
  <fonts count="39">
    <font>
      <sz val="12"/>
      <color rgb="FF000000"/>
      <name val="Calibri"/>
    </font>
    <font>
      <b/>
      <sz val="16"/>
      <color rgb="FFFFFFFF"/>
      <name val="Calibri"/>
    </font>
    <font>
      <b/>
      <sz val="12"/>
      <color rgb="FFFFFFFF"/>
      <name val="Calibri"/>
    </font>
    <font>
      <b/>
      <sz val="12"/>
      <name val="Calibri"/>
    </font>
    <font>
      <sz val="12"/>
      <name val="Calibri"/>
    </font>
    <font>
      <b/>
      <sz val="12"/>
      <color rgb="FF000000"/>
      <name val="Calibri"/>
    </font>
    <font>
      <sz val="10"/>
      <color rgb="FFFFFFFF"/>
      <name val="Arial"/>
    </font>
    <font>
      <b/>
      <sz val="10"/>
      <color rgb="FFFFFFFF"/>
      <name val="Arial"/>
    </font>
    <font>
      <sz val="10"/>
      <color rgb="FF000000"/>
      <name val="Arial"/>
    </font>
    <font>
      <sz val="9"/>
      <color rgb="FF000000"/>
      <name val="Calibri"/>
    </font>
    <font>
      <sz val="10"/>
      <name val="Calibri"/>
    </font>
    <font>
      <sz val="12"/>
      <color rgb="FFFFFFFF"/>
      <name val="Calibri"/>
    </font>
    <font>
      <i/>
      <sz val="8"/>
      <color rgb="FF000000"/>
      <name val="Calibri"/>
    </font>
    <font>
      <b/>
      <sz val="8"/>
      <color rgb="FF000000"/>
      <name val="Calibri"/>
    </font>
    <font>
      <sz val="8"/>
      <color rgb="FF000000"/>
      <name val="Calibri"/>
    </font>
    <font>
      <i/>
      <sz val="12"/>
      <name val="Calibri"/>
    </font>
    <font>
      <b/>
      <sz val="12"/>
      <color rgb="FFF3F3F3"/>
      <name val="Calibri"/>
    </font>
    <font>
      <i/>
      <sz val="10"/>
      <color rgb="FF000000"/>
      <name val="Calibri"/>
    </font>
    <font>
      <b/>
      <sz val="11"/>
      <color rgb="FFFFFFFF"/>
      <name val="Arial"/>
    </font>
    <font>
      <i/>
      <sz val="12"/>
      <color rgb="FF000000"/>
      <name val="Calibri"/>
    </font>
    <font>
      <u/>
      <sz val="12"/>
      <color rgb="FF0000FF"/>
      <name val="Calibri"/>
    </font>
    <font>
      <b/>
      <sz val="16"/>
      <color rgb="FFFFFFFF"/>
      <name val="Open Sans Regular"/>
    </font>
    <font>
      <b/>
      <sz val="12"/>
      <color rgb="FFFFFFFF"/>
      <name val="Open Sans Regular"/>
    </font>
    <font>
      <b/>
      <sz val="12"/>
      <color rgb="FF000000"/>
      <name val="Open Sans Regular"/>
    </font>
    <font>
      <sz val="12"/>
      <color rgb="FF000000"/>
      <name val="Open Sans Regular"/>
    </font>
    <font>
      <sz val="10"/>
      <color rgb="FF000000"/>
      <name val="Open Sans Regular"/>
    </font>
    <font>
      <sz val="12"/>
      <name val="Open Sans Regular"/>
    </font>
    <font>
      <b/>
      <sz val="10"/>
      <color rgb="FFFFFFFF"/>
      <name val="Open Sans Regular"/>
    </font>
    <font>
      <sz val="12"/>
      <color rgb="FFFFFFFF"/>
      <name val="Open Sans Regular"/>
    </font>
    <font>
      <sz val="8"/>
      <color rgb="FF000000"/>
      <name val="Open Sans Regular"/>
    </font>
    <font>
      <sz val="9"/>
      <name val="Open Sans Regular"/>
    </font>
    <font>
      <b/>
      <sz val="10"/>
      <color rgb="FF000000"/>
      <name val="Open Sans Regular"/>
    </font>
    <font>
      <i/>
      <sz val="10"/>
      <color rgb="FF000000"/>
      <name val="Open Sans Regular"/>
    </font>
    <font>
      <sz val="8"/>
      <name val="Open Sans Regular"/>
    </font>
    <font>
      <i/>
      <sz val="12"/>
      <name val="Open Sans Regular"/>
    </font>
    <font>
      <b/>
      <sz val="18"/>
      <color rgb="FFFFFFFF"/>
      <name val="Open Sans Regular"/>
    </font>
    <font>
      <b/>
      <sz val="14"/>
      <color rgb="FFFFFFFF"/>
      <name val="Open Sans Regular"/>
    </font>
    <font>
      <b/>
      <sz val="12"/>
      <name val="Open Sans Regular"/>
    </font>
    <font>
      <b/>
      <sz val="10"/>
      <name val="Open Sans Regular"/>
    </font>
  </fonts>
  <fills count="22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3D85C6"/>
        <bgColor rgb="FF3D85C6"/>
      </patternFill>
    </fill>
    <fill>
      <patternFill patternType="solid">
        <fgColor rgb="FF2E75B5"/>
        <bgColor rgb="FF2E75B5"/>
      </patternFill>
    </fill>
    <fill>
      <patternFill patternType="solid">
        <fgColor rgb="FFD8D8D8"/>
        <bgColor rgb="FFD8D8D8"/>
      </patternFill>
    </fill>
    <fill>
      <patternFill patternType="solid">
        <fgColor rgb="FF7B7B7B"/>
        <bgColor rgb="FF7B7B7B"/>
      </patternFill>
    </fill>
    <fill>
      <patternFill patternType="solid">
        <fgColor rgb="FF93C47D"/>
        <bgColor rgb="FF93C47D"/>
      </patternFill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BDD6EE"/>
        <bgColor rgb="FFBDD6EE"/>
      </patternFill>
    </fill>
    <fill>
      <patternFill patternType="solid">
        <fgColor rgb="FF6AA84F"/>
        <bgColor rgb="FF6AA84F"/>
      </patternFill>
    </fill>
    <fill>
      <patternFill patternType="solid">
        <fgColor rgb="FFFFF2CC"/>
        <bgColor rgb="FFFFF2CC"/>
      </patternFill>
    </fill>
    <fill>
      <patternFill patternType="solid">
        <fgColor rgb="FFF3F3F3"/>
        <bgColor rgb="FFF3F3F3"/>
      </patternFill>
    </fill>
    <fill>
      <patternFill patternType="solid">
        <fgColor rgb="FF1D9AAA"/>
        <bgColor rgb="FF8496B0"/>
      </patternFill>
    </fill>
    <fill>
      <patternFill patternType="solid">
        <fgColor rgb="FF20B08B"/>
        <bgColor rgb="FF93C47D"/>
      </patternFill>
    </fill>
    <fill>
      <patternFill patternType="solid">
        <fgColor rgb="FFFFBE38"/>
        <bgColor rgb="FFFFFF00"/>
      </patternFill>
    </fill>
    <fill>
      <patternFill patternType="solid">
        <fgColor rgb="FF0E5C84"/>
        <bgColor rgb="FF7B7B7B"/>
      </patternFill>
    </fill>
    <fill>
      <patternFill patternType="solid">
        <fgColor rgb="FF1D9AAA"/>
        <bgColor rgb="FF2E75B5"/>
      </patternFill>
    </fill>
    <fill>
      <patternFill patternType="solid">
        <fgColor rgb="FF1D9AAA"/>
        <bgColor rgb="FF0B5394"/>
      </patternFill>
    </fill>
    <fill>
      <patternFill patternType="solid">
        <fgColor rgb="FF1D9AAA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3">
    <xf numFmtId="0" fontId="0" fillId="0" borderId="0" xfId="0" applyFont="1" applyAlignment="1"/>
    <xf numFmtId="0" fontId="1" fillId="2" borderId="1" xfId="0" applyFont="1" applyFill="1" applyBorder="1" applyAlignment="1"/>
    <xf numFmtId="0" fontId="0" fillId="2" borderId="2" xfId="0" applyFont="1" applyFill="1" applyBorder="1"/>
    <xf numFmtId="0" fontId="2" fillId="3" borderId="0" xfId="0" applyFont="1" applyFill="1" applyAlignment="1"/>
    <xf numFmtId="0" fontId="0" fillId="2" borderId="3" xfId="0" applyFont="1" applyFill="1" applyBorder="1"/>
    <xf numFmtId="0" fontId="2" fillId="3" borderId="0" xfId="0" applyFont="1" applyFill="1"/>
    <xf numFmtId="0" fontId="1" fillId="4" borderId="1" xfId="0" applyFont="1" applyFill="1" applyBorder="1" applyAlignment="1"/>
    <xf numFmtId="0" fontId="3" fillId="0" borderId="4" xfId="0" applyFont="1" applyBorder="1" applyAlignment="1"/>
    <xf numFmtId="0" fontId="4" fillId="4" borderId="0" xfId="0" applyFont="1" applyFill="1"/>
    <xf numFmtId="0" fontId="4" fillId="0" borderId="5" xfId="0" applyFont="1" applyBorder="1"/>
    <xf numFmtId="0" fontId="5" fillId="5" borderId="6" xfId="0" applyFont="1" applyFill="1" applyBorder="1"/>
    <xf numFmtId="0" fontId="4" fillId="0" borderId="7" xfId="0" applyFont="1" applyBorder="1"/>
    <xf numFmtId="0" fontId="5" fillId="5" borderId="8" xfId="0" applyFont="1" applyFill="1" applyBorder="1"/>
    <xf numFmtId="0" fontId="4" fillId="0" borderId="9" xfId="0" applyFont="1" applyBorder="1"/>
    <xf numFmtId="0" fontId="5" fillId="5" borderId="10" xfId="0" applyFont="1" applyFill="1" applyBorder="1"/>
    <xf numFmtId="0" fontId="6" fillId="0" borderId="0" xfId="0" applyFont="1" applyAlignment="1">
      <alignment horizontal="center" wrapText="1"/>
    </xf>
    <xf numFmtId="0" fontId="7" fillId="6" borderId="11" xfId="0" applyFont="1" applyFill="1" applyBorder="1" applyAlignment="1">
      <alignment horizontal="center" wrapText="1"/>
    </xf>
    <xf numFmtId="0" fontId="4" fillId="0" borderId="0" xfId="0" applyFont="1" applyAlignment="1"/>
    <xf numFmtId="0" fontId="7" fillId="6" borderId="11" xfId="0" applyFont="1" applyFill="1" applyBorder="1" applyAlignment="1">
      <alignment horizontal="center" wrapText="1"/>
    </xf>
    <xf numFmtId="0" fontId="8" fillId="0" borderId="0" xfId="0" applyFont="1" applyAlignment="1">
      <alignment horizontal="right" wrapText="1"/>
    </xf>
    <xf numFmtId="0" fontId="7" fillId="6" borderId="8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12" xfId="0" applyFont="1" applyBorder="1"/>
    <xf numFmtId="0" fontId="6" fillId="0" borderId="13" xfId="0" applyFont="1" applyBorder="1" applyAlignment="1">
      <alignment horizontal="center" wrapText="1"/>
    </xf>
    <xf numFmtId="0" fontId="9" fillId="0" borderId="0" xfId="0" applyFont="1"/>
    <xf numFmtId="0" fontId="0" fillId="0" borderId="14" xfId="0" applyFont="1" applyBorder="1"/>
    <xf numFmtId="9" fontId="8" fillId="0" borderId="15" xfId="0" applyNumberFormat="1" applyFont="1" applyBorder="1" applyAlignment="1">
      <alignment horizontal="center"/>
    </xf>
    <xf numFmtId="9" fontId="8" fillId="0" borderId="15" xfId="0" applyNumberFormat="1" applyFont="1" applyBorder="1" applyAlignment="1">
      <alignment horizontal="center"/>
    </xf>
    <xf numFmtId="0" fontId="8" fillId="0" borderId="15" xfId="0" applyFont="1" applyBorder="1" applyAlignment="1">
      <alignment horizontal="right" wrapText="1"/>
    </xf>
    <xf numFmtId="0" fontId="10" fillId="0" borderId="0" xfId="0" applyFont="1" applyAlignment="1"/>
    <xf numFmtId="0" fontId="0" fillId="0" borderId="0" xfId="0" applyFont="1"/>
    <xf numFmtId="164" fontId="8" fillId="0" borderId="15" xfId="0" applyNumberFormat="1" applyFont="1" applyBorder="1" applyAlignment="1">
      <alignment horizontal="right" wrapText="1"/>
    </xf>
    <xf numFmtId="0" fontId="11" fillId="4" borderId="6" xfId="0" applyFont="1" applyFill="1" applyBorder="1"/>
    <xf numFmtId="0" fontId="11" fillId="4" borderId="8" xfId="0" applyFont="1" applyFill="1" applyBorder="1"/>
    <xf numFmtId="0" fontId="7" fillId="0" borderId="0" xfId="0" applyFont="1" applyAlignment="1">
      <alignment horizontal="center" wrapText="1"/>
    </xf>
    <xf numFmtId="0" fontId="11" fillId="4" borderId="8" xfId="0" applyFont="1" applyFill="1" applyBorder="1" applyAlignment="1"/>
    <xf numFmtId="0" fontId="7" fillId="0" borderId="0" xfId="0" applyFont="1" applyAlignment="1">
      <alignment horizontal="center" wrapText="1"/>
    </xf>
    <xf numFmtId="0" fontId="5" fillId="5" borderId="16" xfId="0" applyFont="1" applyFill="1" applyBorder="1"/>
    <xf numFmtId="0" fontId="7" fillId="0" borderId="13" xfId="0" applyFont="1" applyBorder="1" applyAlignment="1">
      <alignment horizontal="center" wrapText="1"/>
    </xf>
    <xf numFmtId="0" fontId="0" fillId="0" borderId="17" xfId="0" applyFont="1" applyBorder="1"/>
    <xf numFmtId="0" fontId="7" fillId="6" borderId="8" xfId="0" applyFont="1" applyFill="1" applyBorder="1" applyAlignment="1">
      <alignment horizontal="center" wrapText="1"/>
    </xf>
    <xf numFmtId="0" fontId="0" fillId="0" borderId="5" xfId="0" applyFont="1" applyBorder="1"/>
    <xf numFmtId="0" fontId="7" fillId="6" borderId="18" xfId="0" applyFont="1" applyFill="1" applyBorder="1" applyAlignment="1">
      <alignment horizontal="center" wrapText="1"/>
    </xf>
    <xf numFmtId="0" fontId="12" fillId="0" borderId="0" xfId="0" applyFont="1" applyAlignment="1"/>
    <xf numFmtId="0" fontId="3" fillId="0" borderId="19" xfId="0" applyFont="1" applyBorder="1" applyAlignment="1">
      <alignment horizontal="right"/>
    </xf>
    <xf numFmtId="0" fontId="0" fillId="0" borderId="20" xfId="0" applyFont="1" applyBorder="1"/>
    <xf numFmtId="8" fontId="4" fillId="0" borderId="21" xfId="0" applyNumberFormat="1" applyFont="1" applyBorder="1"/>
    <xf numFmtId="0" fontId="0" fillId="0" borderId="12" xfId="0" applyFont="1" applyBorder="1" applyAlignment="1"/>
    <xf numFmtId="0" fontId="13" fillId="5" borderId="6" xfId="0" applyFont="1" applyFill="1" applyBorder="1"/>
    <xf numFmtId="0" fontId="13" fillId="5" borderId="8" xfId="0" applyFont="1" applyFill="1" applyBorder="1"/>
    <xf numFmtId="8" fontId="4" fillId="0" borderId="22" xfId="0" applyNumberFormat="1" applyFont="1" applyBorder="1"/>
    <xf numFmtId="0" fontId="14" fillId="5" borderId="10" xfId="0" applyFont="1" applyFill="1" applyBorder="1"/>
    <xf numFmtId="0" fontId="3" fillId="7" borderId="0" xfId="0" applyFont="1" applyFill="1" applyAlignment="1">
      <alignment horizontal="right"/>
    </xf>
    <xf numFmtId="9" fontId="3" fillId="7" borderId="0" xfId="0" applyNumberFormat="1" applyFont="1" applyFill="1"/>
    <xf numFmtId="9" fontId="0" fillId="0" borderId="0" xfId="0" applyNumberFormat="1" applyFont="1"/>
    <xf numFmtId="165" fontId="4" fillId="0" borderId="0" xfId="0" applyNumberFormat="1" applyFont="1"/>
    <xf numFmtId="9" fontId="11" fillId="4" borderId="8" xfId="0" applyNumberFormat="1" applyFont="1" applyFill="1" applyBorder="1"/>
    <xf numFmtId="0" fontId="2" fillId="4" borderId="0" xfId="0" applyFont="1" applyFill="1" applyAlignment="1"/>
    <xf numFmtId="0" fontId="0" fillId="0" borderId="23" xfId="0" applyFont="1" applyBorder="1"/>
    <xf numFmtId="0" fontId="0" fillId="0" borderId="24" xfId="0" applyFont="1" applyBorder="1"/>
    <xf numFmtId="0" fontId="3" fillId="0" borderId="0" xfId="0" applyFont="1" applyAlignment="1"/>
    <xf numFmtId="0" fontId="0" fillId="0" borderId="25" xfId="0" applyFont="1" applyBorder="1"/>
    <xf numFmtId="0" fontId="3" fillId="8" borderId="4" xfId="0" applyFont="1" applyFill="1" applyBorder="1" applyAlignment="1"/>
    <xf numFmtId="0" fontId="4" fillId="8" borderId="5" xfId="0" applyFont="1" applyFill="1" applyBorder="1"/>
    <xf numFmtId="0" fontId="4" fillId="8" borderId="7" xfId="0" applyFont="1" applyFill="1" applyBorder="1"/>
    <xf numFmtId="0" fontId="1" fillId="0" borderId="0" xfId="0" applyFont="1"/>
    <xf numFmtId="0" fontId="4" fillId="0" borderId="0" xfId="0" applyFont="1" applyAlignment="1"/>
    <xf numFmtId="0" fontId="5" fillId="0" borderId="0" xfId="0" applyFont="1"/>
    <xf numFmtId="0" fontId="4" fillId="0" borderId="13" xfId="0" applyFont="1" applyBorder="1" applyAlignment="1"/>
    <xf numFmtId="0" fontId="13" fillId="0" borderId="0" xfId="0" applyFont="1"/>
    <xf numFmtId="0" fontId="4" fillId="0" borderId="4" xfId="0" applyFont="1" applyBorder="1"/>
    <xf numFmtId="0" fontId="14" fillId="0" borderId="0" xfId="0" applyFont="1"/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9" borderId="26" xfId="0" applyFont="1" applyFill="1" applyBorder="1"/>
    <xf numFmtId="0" fontId="15" fillId="8" borderId="9" xfId="0" applyFont="1" applyFill="1" applyBorder="1" applyAlignment="1"/>
    <xf numFmtId="3" fontId="15" fillId="8" borderId="0" xfId="0" applyNumberFormat="1" applyFont="1" applyFill="1" applyAlignment="1"/>
    <xf numFmtId="0" fontId="1" fillId="2" borderId="8" xfId="0" applyFont="1" applyFill="1" applyBorder="1" applyAlignment="1"/>
    <xf numFmtId="0" fontId="11" fillId="0" borderId="0" xfId="0" applyFont="1"/>
    <xf numFmtId="0" fontId="0" fillId="2" borderId="8" xfId="0" applyFont="1" applyFill="1" applyBorder="1"/>
    <xf numFmtId="9" fontId="11" fillId="0" borderId="0" xfId="0" applyNumberFormat="1" applyFont="1"/>
    <xf numFmtId="3" fontId="15" fillId="8" borderId="13" xfId="0" applyNumberFormat="1" applyFont="1" applyFill="1" applyBorder="1" applyAlignment="1"/>
    <xf numFmtId="0" fontId="4" fillId="0" borderId="13" xfId="0" applyFont="1" applyBorder="1"/>
    <xf numFmtId="0" fontId="0" fillId="0" borderId="11" xfId="0" applyFont="1" applyBorder="1"/>
    <xf numFmtId="0" fontId="16" fillId="4" borderId="9" xfId="0" applyFont="1" applyFill="1" applyBorder="1" applyAlignment="1">
      <alignment horizontal="right"/>
    </xf>
    <xf numFmtId="0" fontId="8" fillId="0" borderId="0" xfId="0" applyFont="1"/>
    <xf numFmtId="44" fontId="0" fillId="0" borderId="15" xfId="0" applyNumberFormat="1" applyFont="1" applyBorder="1"/>
    <xf numFmtId="0" fontId="5" fillId="10" borderId="8" xfId="0" applyFont="1" applyFill="1" applyBorder="1"/>
    <xf numFmtId="0" fontId="12" fillId="0" borderId="0" xfId="0" applyFont="1"/>
    <xf numFmtId="165" fontId="4" fillId="0" borderId="0" xfId="0" applyNumberFormat="1" applyFont="1" applyAlignment="1"/>
    <xf numFmtId="165" fontId="4" fillId="0" borderId="13" xfId="0" applyNumberFormat="1" applyFont="1" applyBorder="1" applyAlignment="1"/>
    <xf numFmtId="0" fontId="3" fillId="0" borderId="19" xfId="0" applyFont="1" applyBorder="1" applyAlignment="1"/>
    <xf numFmtId="9" fontId="0" fillId="9" borderId="26" xfId="0" applyNumberFormat="1" applyFont="1" applyFill="1" applyBorder="1"/>
    <xf numFmtId="8" fontId="3" fillId="7" borderId="0" xfId="0" applyNumberFormat="1" applyFont="1" applyFill="1"/>
    <xf numFmtId="0" fontId="4" fillId="2" borderId="0" xfId="0" applyFont="1" applyFill="1"/>
    <xf numFmtId="0" fontId="16" fillId="4" borderId="19" xfId="0" applyFont="1" applyFill="1" applyBorder="1" applyAlignment="1">
      <alignment horizontal="right"/>
    </xf>
    <xf numFmtId="0" fontId="5" fillId="11" borderId="8" xfId="0" applyFont="1" applyFill="1" applyBorder="1"/>
    <xf numFmtId="6" fontId="8" fillId="0" borderId="0" xfId="0" applyNumberFormat="1" applyFont="1"/>
    <xf numFmtId="0" fontId="0" fillId="11" borderId="8" xfId="0" applyFont="1" applyFill="1" applyBorder="1"/>
    <xf numFmtId="0" fontId="5" fillId="11" borderId="8" xfId="0" applyFont="1" applyFill="1" applyBorder="1" applyAlignment="1">
      <alignment horizontal="center" wrapText="1"/>
    </xf>
    <xf numFmtId="165" fontId="4" fillId="0" borderId="21" xfId="0" applyNumberFormat="1" applyFont="1" applyBorder="1" applyAlignment="1"/>
    <xf numFmtId="6" fontId="0" fillId="0" borderId="0" xfId="0" applyNumberFormat="1" applyFont="1"/>
    <xf numFmtId="165" fontId="4" fillId="0" borderId="22" xfId="0" applyNumberFormat="1" applyFont="1" applyBorder="1" applyAlignment="1"/>
    <xf numFmtId="44" fontId="0" fillId="0" borderId="0" xfId="0" applyNumberFormat="1" applyFont="1"/>
    <xf numFmtId="0" fontId="2" fillId="12" borderId="19" xfId="0" applyFont="1" applyFill="1" applyBorder="1" applyAlignment="1"/>
    <xf numFmtId="8" fontId="0" fillId="0" borderId="0" xfId="0" applyNumberFormat="1" applyFont="1"/>
    <xf numFmtId="9" fontId="2" fillId="12" borderId="21" xfId="0" applyNumberFormat="1" applyFont="1" applyFill="1" applyBorder="1" applyAlignment="1"/>
    <xf numFmtId="9" fontId="2" fillId="12" borderId="22" xfId="0" applyNumberFormat="1" applyFont="1" applyFill="1" applyBorder="1" applyAlignment="1"/>
    <xf numFmtId="0" fontId="4" fillId="13" borderId="13" xfId="0" applyFont="1" applyFill="1" applyBorder="1" applyAlignment="1"/>
    <xf numFmtId="0" fontId="17" fillId="0" borderId="0" xfId="0" applyFont="1"/>
    <xf numFmtId="0" fontId="3" fillId="0" borderId="0" xfId="0" applyFont="1"/>
    <xf numFmtId="10" fontId="3" fillId="0" borderId="0" xfId="0" applyNumberFormat="1" applyFont="1"/>
    <xf numFmtId="0" fontId="18" fillId="4" borderId="27" xfId="0" applyFont="1" applyFill="1" applyBorder="1" applyAlignment="1">
      <alignment horizontal="center"/>
    </xf>
    <xf numFmtId="0" fontId="15" fillId="8" borderId="0" xfId="0" applyFont="1" applyFill="1" applyAlignment="1"/>
    <xf numFmtId="0" fontId="15" fillId="8" borderId="13" xfId="0" applyFont="1" applyFill="1" applyBorder="1" applyAlignment="1"/>
    <xf numFmtId="0" fontId="3" fillId="0" borderId="9" xfId="0" applyFont="1" applyBorder="1" applyAlignment="1"/>
    <xf numFmtId="8" fontId="4" fillId="0" borderId="0" xfId="0" applyNumberFormat="1" applyFont="1"/>
    <xf numFmtId="6" fontId="0" fillId="0" borderId="0" xfId="0" applyNumberFormat="1" applyFont="1" applyAlignment="1"/>
    <xf numFmtId="8" fontId="4" fillId="0" borderId="13" xfId="0" applyNumberFormat="1" applyFont="1" applyBorder="1"/>
    <xf numFmtId="0" fontId="3" fillId="7" borderId="19" xfId="0" applyFont="1" applyFill="1" applyBorder="1" applyAlignment="1">
      <alignment horizontal="right"/>
    </xf>
    <xf numFmtId="165" fontId="4" fillId="0" borderId="0" xfId="0" applyNumberFormat="1" applyFont="1" applyAlignment="1"/>
    <xf numFmtId="0" fontId="3" fillId="7" borderId="21" xfId="0" applyFont="1" applyFill="1" applyBorder="1"/>
    <xf numFmtId="0" fontId="19" fillId="0" borderId="0" xfId="0" applyFont="1"/>
    <xf numFmtId="9" fontId="3" fillId="7" borderId="21" xfId="0" applyNumberFormat="1" applyFont="1" applyFill="1" applyBorder="1"/>
    <xf numFmtId="9" fontId="3" fillId="7" borderId="22" xfId="0" applyNumberFormat="1" applyFont="1" applyFill="1" applyBorder="1"/>
    <xf numFmtId="0" fontId="0" fillId="10" borderId="8" xfId="0" applyFont="1" applyFill="1" applyBorder="1"/>
    <xf numFmtId="0" fontId="8" fillId="13" borderId="13" xfId="0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0" fontId="8" fillId="0" borderId="13" xfId="0" applyFont="1" applyBorder="1" applyAlignment="1">
      <alignment horizontal="right" wrapText="1"/>
    </xf>
    <xf numFmtId="0" fontId="15" fillId="0" borderId="0" xfId="0" applyFont="1" applyAlignment="1"/>
    <xf numFmtId="0" fontId="4" fillId="0" borderId="0" xfId="0" quotePrefix="1" applyFont="1" applyAlignment="1"/>
    <xf numFmtId="0" fontId="3" fillId="7" borderId="0" xfId="0" applyFont="1" applyFill="1"/>
    <xf numFmtId="0" fontId="0" fillId="0" borderId="8" xfId="0" applyFont="1" applyBorder="1"/>
    <xf numFmtId="0" fontId="3" fillId="8" borderId="5" xfId="0" applyFont="1" applyFill="1" applyBorder="1"/>
    <xf numFmtId="0" fontId="20" fillId="0" borderId="0" xfId="0" applyFont="1" applyAlignment="1"/>
    <xf numFmtId="0" fontId="3" fillId="8" borderId="7" xfId="0" applyFont="1" applyFill="1" applyBorder="1"/>
    <xf numFmtId="0" fontId="3" fillId="0" borderId="9" xfId="0" applyFont="1" applyBorder="1" applyAlignment="1">
      <alignment horizontal="right"/>
    </xf>
    <xf numFmtId="0" fontId="4" fillId="13" borderId="0" xfId="0" applyFont="1" applyFill="1" applyAlignment="1"/>
    <xf numFmtId="0" fontId="8" fillId="13" borderId="15" xfId="0" applyFont="1" applyFill="1" applyBorder="1" applyAlignment="1">
      <alignment horizontal="right" wrapText="1"/>
    </xf>
    <xf numFmtId="0" fontId="3" fillId="14" borderId="4" xfId="0" applyFont="1" applyFill="1" applyBorder="1" applyAlignment="1"/>
    <xf numFmtId="0" fontId="4" fillId="14" borderId="5" xfId="0" applyFont="1" applyFill="1" applyBorder="1"/>
    <xf numFmtId="0" fontId="4" fillId="14" borderId="7" xfId="0" applyFont="1" applyFill="1" applyBorder="1"/>
    <xf numFmtId="0" fontId="7" fillId="6" borderId="18" xfId="0" applyFont="1" applyFill="1" applyBorder="1" applyAlignment="1">
      <alignment horizontal="center" wrapText="1"/>
    </xf>
    <xf numFmtId="9" fontId="4" fillId="0" borderId="0" xfId="0" applyNumberFormat="1" applyFont="1"/>
    <xf numFmtId="9" fontId="4" fillId="13" borderId="0" xfId="0" applyNumberFormat="1" applyFont="1" applyFill="1" applyAlignment="1"/>
    <xf numFmtId="9" fontId="4" fillId="13" borderId="13" xfId="0" applyNumberFormat="1" applyFont="1" applyFill="1" applyBorder="1" applyAlignment="1"/>
    <xf numFmtId="165" fontId="4" fillId="0" borderId="13" xfId="0" applyNumberFormat="1" applyFont="1" applyBorder="1" applyAlignment="1"/>
    <xf numFmtId="0" fontId="21" fillId="15" borderId="8" xfId="0" applyFont="1" applyFill="1" applyBorder="1"/>
    <xf numFmtId="0" fontId="22" fillId="15" borderId="8" xfId="0" applyFont="1" applyFill="1" applyBorder="1"/>
    <xf numFmtId="0" fontId="23" fillId="5" borderId="8" xfId="0" applyFont="1" applyFill="1" applyBorder="1"/>
    <xf numFmtId="0" fontId="24" fillId="0" borderId="0" xfId="0" applyFont="1" applyAlignment="1"/>
    <xf numFmtId="0" fontId="25" fillId="0" borderId="0" xfId="0" applyFont="1"/>
    <xf numFmtId="0" fontId="26" fillId="0" borderId="0" xfId="0" applyFont="1" applyAlignment="1"/>
    <xf numFmtId="10" fontId="26" fillId="0" borderId="0" xfId="0" applyNumberFormat="1" applyFont="1"/>
    <xf numFmtId="0" fontId="27" fillId="6" borderId="8" xfId="0" applyFont="1" applyFill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29" fillId="0" borderId="0" xfId="0" applyFont="1" applyAlignment="1">
      <alignment horizontal="center"/>
    </xf>
    <xf numFmtId="6" fontId="25" fillId="0" borderId="0" xfId="0" applyNumberFormat="1" applyFont="1" applyAlignment="1">
      <alignment horizontal="right"/>
    </xf>
    <xf numFmtId="6" fontId="25" fillId="0" borderId="0" xfId="0" applyNumberFormat="1" applyFont="1"/>
    <xf numFmtId="6" fontId="29" fillId="0" borderId="0" xfId="0" applyNumberFormat="1" applyFont="1" applyAlignment="1">
      <alignment horizontal="center"/>
    </xf>
    <xf numFmtId="0" fontId="25" fillId="0" borderId="0" xfId="0" applyFont="1" applyAlignment="1"/>
    <xf numFmtId="6" fontId="24" fillId="0" borderId="0" xfId="0" applyNumberFormat="1" applyFont="1"/>
    <xf numFmtId="0" fontId="30" fillId="0" borderId="0" xfId="0" applyFont="1" applyAlignment="1"/>
    <xf numFmtId="0" fontId="31" fillId="0" borderId="28" xfId="0" applyFont="1" applyBorder="1" applyAlignment="1">
      <alignment horizontal="right"/>
    </xf>
    <xf numFmtId="6" fontId="31" fillId="0" borderId="28" xfId="0" applyNumberFormat="1" applyFont="1" applyBorder="1"/>
    <xf numFmtId="0" fontId="32" fillId="0" borderId="0" xfId="0" applyFont="1" applyAlignment="1">
      <alignment horizontal="right"/>
    </xf>
    <xf numFmtId="8" fontId="32" fillId="0" borderId="0" xfId="0" applyNumberFormat="1" applyFont="1"/>
    <xf numFmtId="166" fontId="32" fillId="0" borderId="0" xfId="0" applyNumberFormat="1" applyFont="1"/>
    <xf numFmtId="0" fontId="31" fillId="5" borderId="8" xfId="0" applyFont="1" applyFill="1" applyBorder="1" applyAlignment="1"/>
    <xf numFmtId="9" fontId="31" fillId="5" borderId="8" xfId="0" applyNumberFormat="1" applyFont="1" applyFill="1" applyBorder="1"/>
    <xf numFmtId="8" fontId="32" fillId="5" borderId="8" xfId="0" applyNumberFormat="1" applyFont="1" applyFill="1" applyBorder="1"/>
    <xf numFmtId="164" fontId="25" fillId="0" borderId="0" xfId="0" applyNumberFormat="1" applyFont="1"/>
    <xf numFmtId="0" fontId="31" fillId="0" borderId="29" xfId="0" applyFont="1" applyBorder="1" applyAlignment="1">
      <alignment horizontal="right"/>
    </xf>
    <xf numFmtId="164" fontId="31" fillId="0" borderId="29" xfId="0" applyNumberFormat="1" applyFont="1" applyBorder="1"/>
    <xf numFmtId="0" fontId="26" fillId="0" borderId="0" xfId="0" applyFont="1" applyAlignment="1">
      <alignment horizontal="right"/>
    </xf>
    <xf numFmtId="164" fontId="24" fillId="0" borderId="0" xfId="0" applyNumberFormat="1" applyFont="1"/>
    <xf numFmtId="0" fontId="33" fillId="0" borderId="0" xfId="0" applyFont="1" applyAlignment="1"/>
    <xf numFmtId="9" fontId="24" fillId="0" borderId="0" xfId="0" applyNumberFormat="1" applyFont="1"/>
    <xf numFmtId="9" fontId="24" fillId="0" borderId="0" xfId="0" applyNumberFormat="1" applyFont="1" applyAlignment="1"/>
    <xf numFmtId="43" fontId="24" fillId="0" borderId="0" xfId="0" applyNumberFormat="1" applyFont="1"/>
    <xf numFmtId="167" fontId="24" fillId="0" borderId="0" xfId="0" applyNumberFormat="1" applyFont="1"/>
    <xf numFmtId="0" fontId="25" fillId="0" borderId="28" xfId="0" applyFont="1" applyBorder="1" applyAlignment="1">
      <alignment horizontal="right"/>
    </xf>
    <xf numFmtId="164" fontId="24" fillId="0" borderId="28" xfId="0" applyNumberFormat="1" applyFont="1" applyBorder="1"/>
    <xf numFmtId="0" fontId="24" fillId="0" borderId="28" xfId="0" applyFont="1" applyBorder="1"/>
    <xf numFmtId="0" fontId="24" fillId="0" borderId="0" xfId="0" applyFont="1"/>
    <xf numFmtId="0" fontId="34" fillId="0" borderId="0" xfId="0" applyFont="1" applyAlignment="1">
      <alignment horizontal="right"/>
    </xf>
    <xf numFmtId="168" fontId="32" fillId="0" borderId="0" xfId="0" applyNumberFormat="1" applyFont="1"/>
    <xf numFmtId="9" fontId="25" fillId="0" borderId="0" xfId="0" applyNumberFormat="1" applyFont="1" applyAlignment="1">
      <alignment horizontal="center"/>
    </xf>
    <xf numFmtId="0" fontId="27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29" fillId="0" borderId="0" xfId="0" applyFont="1" applyAlignment="1">
      <alignment horizontal="left" wrapText="1"/>
    </xf>
    <xf numFmtId="0" fontId="24" fillId="0" borderId="0" xfId="0" applyFont="1" applyAlignment="1">
      <alignment horizontal="right"/>
    </xf>
    <xf numFmtId="4" fontId="32" fillId="0" borderId="0" xfId="0" applyNumberFormat="1" applyFont="1"/>
    <xf numFmtId="4" fontId="31" fillId="0" borderId="0" xfId="0" applyNumberFormat="1" applyFont="1" applyAlignment="1">
      <alignment horizontal="center" wrapText="1"/>
    </xf>
    <xf numFmtId="0" fontId="31" fillId="0" borderId="0" xfId="0" applyFont="1" applyAlignment="1">
      <alignment horizontal="center" wrapText="1"/>
    </xf>
    <xf numFmtId="9" fontId="25" fillId="0" borderId="0" xfId="0" applyNumberFormat="1" applyFont="1"/>
    <xf numFmtId="1" fontId="25" fillId="0" borderId="0" xfId="0" applyNumberFormat="1" applyFont="1" applyAlignment="1">
      <alignment horizontal="center"/>
    </xf>
    <xf numFmtId="8" fontId="25" fillId="0" borderId="0" xfId="0" applyNumberFormat="1" applyFont="1" applyAlignment="1">
      <alignment horizontal="right"/>
    </xf>
    <xf numFmtId="8" fontId="25" fillId="0" borderId="0" xfId="0" applyNumberFormat="1" applyFont="1" applyAlignment="1">
      <alignment horizontal="center"/>
    </xf>
    <xf numFmtId="8" fontId="31" fillId="0" borderId="29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169" fontId="25" fillId="0" borderId="0" xfId="0" applyNumberFormat="1" applyFont="1" applyAlignment="1">
      <alignment horizontal="right"/>
    </xf>
    <xf numFmtId="0" fontId="23" fillId="0" borderId="0" xfId="0" applyFont="1" applyAlignment="1"/>
    <xf numFmtId="9" fontId="25" fillId="0" borderId="0" xfId="0" applyNumberFormat="1" applyFont="1" applyAlignment="1">
      <alignment horizontal="right"/>
    </xf>
    <xf numFmtId="164" fontId="24" fillId="0" borderId="0" xfId="0" applyNumberFormat="1" applyFont="1" applyAlignment="1">
      <alignment horizontal="right"/>
    </xf>
    <xf numFmtId="170" fontId="24" fillId="0" borderId="0" xfId="0" applyNumberFormat="1" applyFont="1" applyAlignment="1">
      <alignment horizontal="right"/>
    </xf>
    <xf numFmtId="0" fontId="25" fillId="14" borderId="0" xfId="0" applyFont="1" applyFill="1" applyAlignment="1">
      <alignment horizontal="right"/>
    </xf>
    <xf numFmtId="166" fontId="25" fillId="14" borderId="0" xfId="0" applyNumberFormat="1" applyFont="1" applyFill="1" applyAlignment="1">
      <alignment horizontal="right"/>
    </xf>
    <xf numFmtId="166" fontId="25" fillId="0" borderId="0" xfId="0" applyNumberFormat="1" applyFont="1" applyAlignment="1">
      <alignment horizontal="right"/>
    </xf>
    <xf numFmtId="169" fontId="26" fillId="0" borderId="0" xfId="0" applyNumberFormat="1" applyFont="1" applyAlignment="1">
      <alignment horizontal="right"/>
    </xf>
    <xf numFmtId="8" fontId="31" fillId="0" borderId="29" xfId="0" applyNumberFormat="1" applyFont="1" applyBorder="1" applyAlignment="1">
      <alignment horizontal="right"/>
    </xf>
    <xf numFmtId="9" fontId="26" fillId="0" borderId="0" xfId="0" applyNumberFormat="1" applyFont="1"/>
    <xf numFmtId="0" fontId="22" fillId="0" borderId="0" xfId="0" applyFont="1" applyAlignment="1"/>
    <xf numFmtId="164" fontId="28" fillId="0" borderId="0" xfId="0" applyNumberFormat="1" applyFont="1" applyAlignment="1">
      <alignment horizontal="right"/>
    </xf>
    <xf numFmtId="171" fontId="26" fillId="0" borderId="0" xfId="0" applyNumberFormat="1" applyFont="1"/>
    <xf numFmtId="8" fontId="26" fillId="0" borderId="0" xfId="0" applyNumberFormat="1" applyFont="1"/>
    <xf numFmtId="169" fontId="26" fillId="0" borderId="0" xfId="0" applyNumberFormat="1" applyFont="1"/>
    <xf numFmtId="8" fontId="26" fillId="0" borderId="29" xfId="0" applyNumberFormat="1" applyFont="1" applyBorder="1"/>
    <xf numFmtId="0" fontId="37" fillId="0" borderId="0" xfId="0" applyFont="1" applyAlignment="1">
      <alignment horizontal="right"/>
    </xf>
    <xf numFmtId="0" fontId="31" fillId="0" borderId="8" xfId="0" applyFont="1" applyBorder="1" applyAlignment="1">
      <alignment horizontal="right" wrapText="1"/>
    </xf>
    <xf numFmtId="0" fontId="31" fillId="0" borderId="8" xfId="0" applyFont="1" applyBorder="1" applyAlignment="1">
      <alignment horizontal="center" wrapText="1"/>
    </xf>
    <xf numFmtId="0" fontId="31" fillId="16" borderId="0" xfId="0" applyFont="1" applyFill="1" applyAlignment="1">
      <alignment horizontal="right"/>
    </xf>
    <xf numFmtId="9" fontId="23" fillId="16" borderId="0" xfId="0" applyNumberFormat="1" applyFont="1" applyFill="1" applyAlignment="1">
      <alignment horizontal="right"/>
    </xf>
    <xf numFmtId="0" fontId="24" fillId="17" borderId="26" xfId="0" applyFont="1" applyFill="1" applyBorder="1" applyAlignment="1"/>
    <xf numFmtId="0" fontId="24" fillId="17" borderId="26" xfId="0" applyFont="1" applyFill="1" applyBorder="1"/>
    <xf numFmtId="164" fontId="25" fillId="17" borderId="26" xfId="0" applyNumberFormat="1" applyFont="1" applyFill="1" applyBorder="1" applyAlignment="1"/>
    <xf numFmtId="0" fontId="25" fillId="17" borderId="26" xfId="0" applyFont="1" applyFill="1" applyBorder="1" applyAlignment="1"/>
    <xf numFmtId="10" fontId="25" fillId="17" borderId="26" xfId="0" applyNumberFormat="1" applyFont="1" applyFill="1" applyBorder="1" applyAlignment="1"/>
    <xf numFmtId="0" fontId="31" fillId="0" borderId="29" xfId="0" applyFont="1" applyBorder="1" applyAlignment="1">
      <alignment horizontal="left" vertical="center" wrapText="1"/>
    </xf>
    <xf numFmtId="0" fontId="31" fillId="0" borderId="29" xfId="0" applyFont="1" applyBorder="1" applyAlignment="1">
      <alignment horizontal="right" wrapText="1"/>
    </xf>
    <xf numFmtId="0" fontId="38" fillId="0" borderId="29" xfId="0" applyFont="1" applyBorder="1" applyAlignment="1">
      <alignment horizontal="right" wrapText="1"/>
    </xf>
    <xf numFmtId="0" fontId="27" fillId="18" borderId="8" xfId="0" applyFont="1" applyFill="1" applyBorder="1" applyAlignment="1">
      <alignment horizontal="center" wrapText="1"/>
    </xf>
    <xf numFmtId="0" fontId="27" fillId="18" borderId="8" xfId="0" applyFont="1" applyFill="1" applyBorder="1"/>
    <xf numFmtId="0" fontId="27" fillId="19" borderId="8" xfId="0" applyFont="1" applyFill="1" applyBorder="1" applyAlignment="1">
      <alignment horizontal="left"/>
    </xf>
    <xf numFmtId="0" fontId="27" fillId="19" borderId="8" xfId="0" applyFont="1" applyFill="1" applyBorder="1"/>
    <xf numFmtId="0" fontId="28" fillId="19" borderId="8" xfId="0" applyFont="1" applyFill="1" applyBorder="1"/>
    <xf numFmtId="0" fontId="26" fillId="19" borderId="0" xfId="0" applyFont="1" applyFill="1"/>
    <xf numFmtId="0" fontId="35" fillId="19" borderId="0" xfId="0" applyFont="1" applyFill="1" applyAlignment="1"/>
    <xf numFmtId="164" fontId="22" fillId="19" borderId="0" xfId="0" applyNumberFormat="1" applyFont="1" applyFill="1"/>
    <xf numFmtId="164" fontId="24" fillId="19" borderId="0" xfId="0" applyNumberFormat="1" applyFont="1" applyFill="1"/>
    <xf numFmtId="0" fontId="27" fillId="19" borderId="0" xfId="0" applyFont="1" applyFill="1" applyAlignment="1"/>
    <xf numFmtId="0" fontId="36" fillId="20" borderId="0" xfId="0" applyFont="1" applyFill="1" applyAlignment="1">
      <alignment horizontal="center"/>
    </xf>
    <xf numFmtId="0" fontId="24" fillId="21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E5C84"/>
      <color rgb="FF1D9AAA"/>
      <color rgb="FF20B08B"/>
      <color rgb="FF454545"/>
      <color rgb="FFFFBE38"/>
      <color rgb="FF1794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US"/>
              <a:t>Extraction and Rework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'TCO Model'!$J$164</c:f>
              <c:strCache>
                <c:ptCount val="1"/>
                <c:pt idx="0">
                  <c:v>Extraction</c:v>
                </c:pt>
              </c:strCache>
            </c:strRef>
          </c:tx>
          <c:spPr>
            <a:solidFill>
              <a:srgbClr val="1D9AAA"/>
            </a:solidFill>
          </c:spPr>
          <c:invertIfNegative val="1"/>
          <c:cat>
            <c:strRef>
              <c:f>'TCO Model'!$I$165:$I$168</c:f>
              <c:strCache>
                <c:ptCount val="4"/>
                <c:pt idx="0">
                  <c:v>GLYNT</c:v>
                </c:pt>
                <c:pt idx="1">
                  <c:v>OCR</c:v>
                </c:pt>
                <c:pt idx="2">
                  <c:v>Human Data Entry</c:v>
                </c:pt>
                <c:pt idx="3">
                  <c:v>AWS Textract</c:v>
                </c:pt>
              </c:strCache>
            </c:strRef>
          </c:cat>
          <c:val>
            <c:numRef>
              <c:f>'TCO Model'!$J$165:$J$168</c:f>
              <c:numCache>
                <c:formatCode>General</c:formatCode>
                <c:ptCount val="4"/>
                <c:pt idx="0">
                  <c:v>0.18</c:v>
                </c:pt>
                <c:pt idx="1">
                  <c:v>0.31240000000000001</c:v>
                </c:pt>
                <c:pt idx="2">
                  <c:v>0.38200000000000001</c:v>
                </c:pt>
                <c:pt idx="3">
                  <c:v>0.19500000000000001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5C9-904B-BA52-6AAC7410183E}"/>
            </c:ext>
          </c:extLst>
        </c:ser>
        <c:ser>
          <c:idx val="1"/>
          <c:order val="1"/>
          <c:tx>
            <c:strRef>
              <c:f>'TCO Model'!$K$164</c:f>
              <c:strCache>
                <c:ptCount val="1"/>
                <c:pt idx="0">
                  <c:v>Rework</c:v>
                </c:pt>
              </c:strCache>
            </c:strRef>
          </c:tx>
          <c:spPr>
            <a:solidFill>
              <a:srgbClr val="20B08B"/>
            </a:solidFill>
          </c:spPr>
          <c:invertIfNegative val="1"/>
          <c:cat>
            <c:strRef>
              <c:f>'TCO Model'!$I$165:$I$168</c:f>
              <c:strCache>
                <c:ptCount val="4"/>
                <c:pt idx="0">
                  <c:v>GLYNT</c:v>
                </c:pt>
                <c:pt idx="1">
                  <c:v>OCR</c:v>
                </c:pt>
                <c:pt idx="2">
                  <c:v>Human Data Entry</c:v>
                </c:pt>
                <c:pt idx="3">
                  <c:v>AWS Textract</c:v>
                </c:pt>
              </c:strCache>
            </c:strRef>
          </c:cat>
          <c:val>
            <c:numRef>
              <c:f>'TCO Model'!$K$165:$K$168</c:f>
              <c:numCache>
                <c:formatCode>General</c:formatCode>
                <c:ptCount val="4"/>
                <c:pt idx="0">
                  <c:v>3.8199999999999998E-2</c:v>
                </c:pt>
                <c:pt idx="1">
                  <c:v>0.11459999999999999</c:v>
                </c:pt>
                <c:pt idx="2">
                  <c:v>0.45839999999999997</c:v>
                </c:pt>
                <c:pt idx="3">
                  <c:v>0.30559999999999998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A5C9-904B-BA52-6AAC74101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4451729"/>
        <c:axId val="1936612160"/>
      </c:barChart>
      <c:catAx>
        <c:axId val="1314451729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936612160"/>
        <c:crosses val="autoZero"/>
        <c:auto val="1"/>
        <c:lblAlgn val="ctr"/>
        <c:lblOffset val="100"/>
        <c:noMultiLvlLbl val="1"/>
      </c:catAx>
      <c:valAx>
        <c:axId val="193661216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314451729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800100</xdr:colOff>
      <xdr:row>169</xdr:row>
      <xdr:rowOff>171450</xdr:rowOff>
    </xdr:from>
    <xdr:ext cx="5715000" cy="35337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aws.amazon.com/sagemaker/groundtruth/pricing/" TargetMode="External"/><Relationship Id="rId2" Type="http://schemas.openxmlformats.org/officeDocument/2006/relationships/hyperlink" Target="https://aws.amazon.com/textract/pricing/" TargetMode="External"/><Relationship Id="rId1" Type="http://schemas.openxmlformats.org/officeDocument/2006/relationships/hyperlink" Target="https://cloud.google.com/vision/pric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W911"/>
  <sheetViews>
    <sheetView tabSelected="1" zoomScale="125" workbookViewId="0">
      <selection activeCell="C38" sqref="C38:K38"/>
    </sheetView>
  </sheetViews>
  <sheetFormatPr baseColWidth="10" defaultColWidth="11.1640625" defaultRowHeight="15" customHeight="1"/>
  <cols>
    <col min="1" max="2" width="10.5" customWidth="1"/>
    <col min="3" max="3" width="29.5" customWidth="1"/>
    <col min="4" max="4" width="13" customWidth="1"/>
    <col min="5" max="5" width="13.1640625" customWidth="1"/>
    <col min="6" max="7" width="12.6640625" customWidth="1"/>
    <col min="8" max="8" width="12" customWidth="1"/>
    <col min="9" max="9" width="12.6640625" customWidth="1"/>
    <col min="10" max="10" width="10.5" customWidth="1"/>
    <col min="11" max="11" width="20.83203125" customWidth="1"/>
    <col min="12" max="12" width="17.5" customWidth="1"/>
    <col min="13" max="13" width="10.5" customWidth="1"/>
    <col min="14" max="14" width="15.6640625" customWidth="1"/>
    <col min="15" max="15" width="28.1640625" customWidth="1"/>
    <col min="16" max="25" width="10.5" customWidth="1"/>
  </cols>
  <sheetData>
    <row r="1" spans="3:23" ht="15.75" customHeight="1"/>
    <row r="2" spans="3:23" ht="15.75" customHeight="1"/>
    <row r="3" spans="3:23" ht="15.75" customHeight="1"/>
    <row r="4" spans="3:23" ht="29" customHeight="1">
      <c r="C4" s="147" t="s">
        <v>32</v>
      </c>
      <c r="D4" s="148"/>
      <c r="E4" s="148"/>
      <c r="F4" s="148"/>
      <c r="G4" s="148"/>
      <c r="J4" s="30"/>
      <c r="K4" s="30"/>
      <c r="L4" s="30"/>
      <c r="O4" s="65"/>
      <c r="P4" s="30"/>
      <c r="Q4" s="30"/>
      <c r="R4" s="30"/>
      <c r="T4" s="30"/>
      <c r="U4" s="30"/>
      <c r="V4" s="30"/>
      <c r="W4" s="30"/>
    </row>
    <row r="5" spans="3:23" ht="21" customHeight="1">
      <c r="C5" s="149" t="s">
        <v>34</v>
      </c>
      <c r="D5" s="149"/>
      <c r="E5" s="149"/>
      <c r="F5" s="149"/>
      <c r="G5" s="149"/>
      <c r="O5" s="67"/>
      <c r="P5" s="67"/>
      <c r="Q5" s="67"/>
      <c r="R5" s="67"/>
      <c r="T5" s="69"/>
      <c r="U5" s="69"/>
      <c r="V5" s="69"/>
      <c r="W5" s="71"/>
    </row>
    <row r="6" spans="3:23" ht="15.75" customHeight="1">
      <c r="C6" s="223">
        <v>12</v>
      </c>
      <c r="D6" s="150" t="s">
        <v>26</v>
      </c>
      <c r="E6" s="224">
        <v>3</v>
      </c>
      <c r="F6" s="150" t="s">
        <v>23</v>
      </c>
      <c r="G6" s="150"/>
      <c r="O6" s="30"/>
      <c r="P6" s="24"/>
      <c r="Q6" s="24"/>
      <c r="R6" s="30"/>
      <c r="T6" s="30"/>
      <c r="U6" s="30"/>
      <c r="V6" s="30"/>
      <c r="W6" s="30"/>
    </row>
    <row r="7" spans="3:23" ht="15.75" customHeight="1">
      <c r="C7" s="150"/>
      <c r="D7" s="150"/>
      <c r="E7" s="150"/>
      <c r="F7" s="150"/>
      <c r="G7" s="150"/>
      <c r="O7" s="30"/>
      <c r="P7" s="30"/>
      <c r="Q7" s="30"/>
      <c r="R7" s="30"/>
      <c r="T7" s="30"/>
      <c r="U7" s="30"/>
      <c r="V7" s="54"/>
      <c r="W7" s="30"/>
    </row>
    <row r="8" spans="3:23" ht="19" customHeight="1">
      <c r="C8" s="149" t="s">
        <v>38</v>
      </c>
      <c r="D8" s="149"/>
      <c r="E8" s="149"/>
      <c r="F8" s="149"/>
      <c r="G8" s="149"/>
      <c r="O8" s="30"/>
      <c r="P8" s="30"/>
      <c r="Q8" s="30"/>
      <c r="R8" s="30"/>
      <c r="T8" s="30"/>
      <c r="U8" s="30"/>
      <c r="V8" s="30"/>
      <c r="W8" s="30"/>
    </row>
    <row r="9" spans="3:23" ht="15.75" customHeight="1">
      <c r="C9" s="224">
        <v>20</v>
      </c>
      <c r="D9" s="150" t="s">
        <v>39</v>
      </c>
      <c r="E9" s="150"/>
      <c r="F9" s="150"/>
      <c r="G9" s="150"/>
      <c r="O9" s="30"/>
      <c r="P9" s="30"/>
      <c r="Q9" s="30"/>
      <c r="R9" s="30"/>
      <c r="T9" s="30"/>
      <c r="U9" s="30"/>
      <c r="V9" s="54"/>
      <c r="W9" s="30"/>
    </row>
    <row r="10" spans="3:23" ht="15.75" customHeight="1">
      <c r="C10" s="150"/>
      <c r="D10" s="150"/>
      <c r="E10" s="150"/>
      <c r="F10" s="150"/>
      <c r="G10" s="150"/>
      <c r="J10" s="67"/>
      <c r="K10" s="67"/>
      <c r="L10" s="67"/>
      <c r="O10" s="30"/>
      <c r="P10" s="30"/>
      <c r="Q10" s="30"/>
      <c r="R10" s="30"/>
      <c r="T10" s="30"/>
      <c r="U10" s="30"/>
      <c r="V10" s="54"/>
      <c r="W10" s="30"/>
    </row>
    <row r="11" spans="3:23" ht="19" customHeight="1">
      <c r="C11" s="149" t="s">
        <v>40</v>
      </c>
      <c r="D11" s="149"/>
      <c r="E11" s="149"/>
      <c r="F11" s="149"/>
      <c r="G11" s="149"/>
      <c r="O11" s="78"/>
      <c r="P11" s="78"/>
      <c r="Q11" s="78"/>
      <c r="R11" s="30"/>
      <c r="T11" s="78"/>
      <c r="U11" s="78"/>
      <c r="V11" s="80"/>
      <c r="W11" s="30"/>
    </row>
    <row r="12" spans="3:23" ht="15.75" customHeight="1">
      <c r="C12" s="225">
        <v>750000</v>
      </c>
      <c r="D12" s="150" t="s">
        <v>48</v>
      </c>
      <c r="E12" s="150"/>
      <c r="F12" s="150"/>
      <c r="G12" s="150"/>
      <c r="O12" s="30"/>
      <c r="P12" s="30"/>
      <c r="Q12" s="30"/>
      <c r="R12" s="30"/>
      <c r="T12" s="30"/>
      <c r="U12" s="30"/>
      <c r="V12" s="30"/>
      <c r="W12" s="30"/>
    </row>
    <row r="13" spans="3:23" ht="15.75" customHeight="1">
      <c r="C13" s="150"/>
      <c r="D13" s="150"/>
      <c r="E13" s="150"/>
      <c r="F13" s="150"/>
      <c r="G13" s="150"/>
      <c r="O13" s="67"/>
      <c r="P13" s="67"/>
      <c r="Q13" s="67"/>
      <c r="R13" s="67"/>
    </row>
    <row r="14" spans="3:23" ht="15.75" customHeight="1">
      <c r="C14" s="226">
        <v>500</v>
      </c>
      <c r="D14" s="150" t="s">
        <v>51</v>
      </c>
      <c r="E14" s="150"/>
      <c r="F14" s="150"/>
      <c r="G14" s="150"/>
      <c r="O14" s="67"/>
      <c r="P14" s="67"/>
      <c r="Q14" s="67"/>
      <c r="R14" s="67"/>
    </row>
    <row r="15" spans="3:23" ht="15.75" customHeight="1">
      <c r="C15" s="151"/>
      <c r="D15" s="150"/>
      <c r="E15" s="150"/>
      <c r="F15" s="150"/>
      <c r="G15" s="150"/>
      <c r="O15" s="67"/>
      <c r="P15" s="67"/>
      <c r="Q15" s="67"/>
      <c r="R15" s="67"/>
    </row>
    <row r="16" spans="3:23" ht="15.75" customHeight="1">
      <c r="C16" s="227">
        <v>0.2</v>
      </c>
      <c r="D16" s="152" t="s">
        <v>54</v>
      </c>
      <c r="E16" s="150"/>
      <c r="F16" s="150"/>
      <c r="G16" s="150"/>
      <c r="O16" s="30"/>
      <c r="P16" s="30"/>
      <c r="Q16" s="88"/>
      <c r="R16" s="30"/>
    </row>
    <row r="17" spans="3:18" ht="15.75" customHeight="1">
      <c r="C17" s="153">
        <f>C16/12</f>
        <v>1.6666666666666666E-2</v>
      </c>
      <c r="D17" s="150" t="s">
        <v>55</v>
      </c>
      <c r="E17" s="150"/>
      <c r="F17" s="150"/>
      <c r="G17" s="150"/>
      <c r="J17" s="67"/>
      <c r="K17" s="67"/>
      <c r="L17" s="67"/>
      <c r="O17" s="30"/>
      <c r="P17" s="30"/>
      <c r="Q17" s="88"/>
      <c r="R17" s="30"/>
    </row>
    <row r="18" spans="3:18" ht="15.75" customHeight="1">
      <c r="K18" s="54"/>
    </row>
    <row r="19" spans="3:18" ht="15.75" customHeight="1">
      <c r="C19" s="232" t="s">
        <v>56</v>
      </c>
      <c r="D19" s="231" t="s">
        <v>5</v>
      </c>
      <c r="E19" s="231" t="s">
        <v>6</v>
      </c>
      <c r="F19" s="231" t="s">
        <v>7</v>
      </c>
      <c r="G19" s="231" t="s">
        <v>8</v>
      </c>
      <c r="H19" s="231" t="s">
        <v>9</v>
      </c>
      <c r="I19" s="231" t="s">
        <v>10</v>
      </c>
      <c r="J19" s="231"/>
      <c r="K19" s="231" t="s">
        <v>11</v>
      </c>
    </row>
    <row r="20" spans="3:18" ht="15.75" customHeight="1">
      <c r="C20" s="233" t="s">
        <v>57</v>
      </c>
      <c r="D20" s="234"/>
      <c r="E20" s="234"/>
      <c r="F20" s="234"/>
      <c r="G20" s="234"/>
      <c r="H20" s="234"/>
      <c r="I20" s="235"/>
      <c r="J20" s="236"/>
      <c r="K20" s="236"/>
    </row>
    <row r="21" spans="3:18" ht="15.75" customHeight="1">
      <c r="C21" s="155" t="s">
        <v>58</v>
      </c>
      <c r="D21" s="156" t="s">
        <v>61</v>
      </c>
      <c r="E21" s="156" t="s">
        <v>61</v>
      </c>
      <c r="F21" s="156" t="s">
        <v>63</v>
      </c>
      <c r="G21" s="156" t="s">
        <v>63</v>
      </c>
      <c r="H21" s="156" t="s">
        <v>61</v>
      </c>
      <c r="I21" s="156" t="s">
        <v>63</v>
      </c>
      <c r="J21" s="150"/>
      <c r="K21" s="150"/>
    </row>
    <row r="22" spans="3:18" ht="15.75" customHeight="1">
      <c r="C22" s="155" t="s">
        <v>64</v>
      </c>
      <c r="D22" s="157">
        <f>'Inputs &amp; Assumptions'!$H$58</f>
        <v>18</v>
      </c>
      <c r="E22" s="157">
        <f>'Inputs &amp; Assumptions'!$H$58</f>
        <v>18</v>
      </c>
      <c r="F22" s="158">
        <f>'Inputs &amp; Assumptions'!$H$53</f>
        <v>50</v>
      </c>
      <c r="G22" s="158">
        <f>'Inputs &amp; Assumptions'!$H$53</f>
        <v>50</v>
      </c>
      <c r="H22" s="157">
        <f>'Inputs &amp; Assumptions'!$H$58</f>
        <v>18</v>
      </c>
      <c r="I22" s="158">
        <f>'Inputs &amp; Assumptions'!$H$53</f>
        <v>50</v>
      </c>
      <c r="J22" s="150"/>
      <c r="K22" s="150"/>
    </row>
    <row r="23" spans="3:18" ht="15.75" customHeight="1">
      <c r="C23" s="155" t="s">
        <v>58</v>
      </c>
      <c r="D23" s="159" t="s">
        <v>67</v>
      </c>
      <c r="E23" s="159" t="s">
        <v>67</v>
      </c>
      <c r="F23" s="159" t="s">
        <v>72</v>
      </c>
      <c r="G23" s="159" t="s">
        <v>72</v>
      </c>
      <c r="H23" s="159" t="s">
        <v>67</v>
      </c>
      <c r="I23" s="159" t="s">
        <v>67</v>
      </c>
      <c r="J23" s="150"/>
      <c r="K23" s="150"/>
    </row>
    <row r="24" spans="3:18" ht="15.75" customHeight="1">
      <c r="C24" s="155" t="s">
        <v>64</v>
      </c>
      <c r="D24" s="157">
        <f>'Inputs &amp; Assumptions'!$H$59</f>
        <v>22</v>
      </c>
      <c r="E24" s="157">
        <f>'Inputs &amp; Assumptions'!$H$59</f>
        <v>22</v>
      </c>
      <c r="F24" s="157">
        <f>'Inputs &amp; Assumptions'!$H$48</f>
        <v>63</v>
      </c>
      <c r="G24" s="157">
        <f>'Inputs &amp; Assumptions'!$H$48</f>
        <v>63</v>
      </c>
      <c r="H24" s="157">
        <f>'Inputs &amp; Assumptions'!$H$59</f>
        <v>22</v>
      </c>
      <c r="I24" s="157">
        <f>'Inputs &amp; Assumptions'!$H$59</f>
        <v>22</v>
      </c>
      <c r="J24" s="150"/>
      <c r="K24" s="150"/>
    </row>
    <row r="25" spans="3:18" ht="15.75" customHeight="1">
      <c r="C25" s="150"/>
      <c r="D25" s="150"/>
      <c r="E25" s="150"/>
      <c r="F25" s="150"/>
      <c r="G25" s="150"/>
      <c r="H25" s="150"/>
      <c r="I25" s="150"/>
      <c r="J25" s="150"/>
      <c r="K25" s="150"/>
    </row>
    <row r="26" spans="3:18" ht="15.75" customHeight="1">
      <c r="C26" s="155" t="s">
        <v>78</v>
      </c>
      <c r="D26" s="151">
        <v>0.75</v>
      </c>
      <c r="E26" s="151">
        <v>3</v>
      </c>
      <c r="F26" s="160">
        <v>3</v>
      </c>
      <c r="G26" s="151">
        <v>2</v>
      </c>
      <c r="H26" s="151">
        <v>1</v>
      </c>
      <c r="I26" s="151">
        <v>0.75</v>
      </c>
      <c r="J26" s="150"/>
      <c r="K26" s="150"/>
    </row>
    <row r="27" spans="3:18" ht="15.75" customHeight="1">
      <c r="C27" s="155" t="s">
        <v>81</v>
      </c>
      <c r="D27" s="151">
        <f t="shared" ref="D27:I27" si="0">$C$14</f>
        <v>500</v>
      </c>
      <c r="E27" s="151">
        <f t="shared" si="0"/>
        <v>500</v>
      </c>
      <c r="F27" s="151">
        <f t="shared" si="0"/>
        <v>500</v>
      </c>
      <c r="G27" s="151">
        <f t="shared" si="0"/>
        <v>500</v>
      </c>
      <c r="H27" s="151">
        <f t="shared" si="0"/>
        <v>500</v>
      </c>
      <c r="I27" s="151">
        <f t="shared" si="0"/>
        <v>500</v>
      </c>
      <c r="J27" s="150"/>
      <c r="K27" s="150"/>
    </row>
    <row r="28" spans="3:18" ht="15.75" customHeight="1">
      <c r="C28" s="155" t="s">
        <v>83</v>
      </c>
      <c r="D28" s="151">
        <f t="shared" ref="D28:I28" si="1">D27*D26</f>
        <v>375</v>
      </c>
      <c r="E28" s="151">
        <f t="shared" si="1"/>
        <v>1500</v>
      </c>
      <c r="F28" s="151">
        <f t="shared" si="1"/>
        <v>1500</v>
      </c>
      <c r="G28" s="151">
        <f t="shared" si="1"/>
        <v>1000</v>
      </c>
      <c r="H28" s="151">
        <f t="shared" si="1"/>
        <v>500</v>
      </c>
      <c r="I28" s="151">
        <f t="shared" si="1"/>
        <v>375</v>
      </c>
      <c r="J28" s="150"/>
      <c r="K28" s="150"/>
    </row>
    <row r="29" spans="3:18" ht="15.75" customHeight="1">
      <c r="C29" s="150"/>
      <c r="D29" s="150"/>
      <c r="E29" s="150"/>
      <c r="F29" s="150"/>
      <c r="G29" s="150"/>
      <c r="H29" s="150"/>
      <c r="I29" s="150"/>
      <c r="J29" s="150"/>
      <c r="K29" s="150"/>
    </row>
    <row r="30" spans="3:18" ht="15.75" customHeight="1">
      <c r="C30" s="155" t="s">
        <v>85</v>
      </c>
      <c r="D30" s="150">
        <f t="shared" ref="D30:F30" si="2">(D27*D26)/(25*8)</f>
        <v>1.875</v>
      </c>
      <c r="E30" s="150">
        <f t="shared" si="2"/>
        <v>7.5</v>
      </c>
      <c r="F30" s="150">
        <f t="shared" si="2"/>
        <v>7.5</v>
      </c>
      <c r="G30" s="150"/>
      <c r="H30" s="150">
        <f>(H27*H26)/(25*8)</f>
        <v>2.5</v>
      </c>
      <c r="I30" s="150"/>
      <c r="J30" s="150"/>
      <c r="K30" s="150"/>
    </row>
    <row r="31" spans="3:18" ht="15.75" customHeight="1">
      <c r="C31" s="155" t="s">
        <v>89</v>
      </c>
      <c r="D31" s="161">
        <f t="shared" ref="D31:E31" si="3">D28*D22</f>
        <v>6750</v>
      </c>
      <c r="E31" s="161">
        <f t="shared" si="3"/>
        <v>27000</v>
      </c>
      <c r="F31" s="150"/>
      <c r="G31" s="150"/>
      <c r="H31" s="161">
        <f>H28*H22</f>
        <v>9000</v>
      </c>
      <c r="I31" s="161">
        <f>'Inputs &amp; Assumptions'!C69*12*20</f>
        <v>360</v>
      </c>
      <c r="J31" s="150"/>
      <c r="K31" s="162" t="s">
        <v>91</v>
      </c>
    </row>
    <row r="32" spans="3:18" ht="15.75" customHeight="1">
      <c r="C32" s="155" t="s">
        <v>92</v>
      </c>
      <c r="D32" s="161"/>
      <c r="E32" s="161"/>
      <c r="F32" s="161">
        <f t="shared" ref="F32:G32" si="4">F28*F22</f>
        <v>75000</v>
      </c>
      <c r="G32" s="161">
        <f t="shared" si="4"/>
        <v>50000</v>
      </c>
      <c r="H32" s="161"/>
      <c r="I32" s="161"/>
      <c r="J32" s="150"/>
      <c r="K32" s="150"/>
    </row>
    <row r="33" spans="3:11" ht="15.75" customHeight="1">
      <c r="C33" s="155" t="s">
        <v>94</v>
      </c>
      <c r="D33" s="161">
        <f>(D28/'Inputs &amp; Assumptions'!$B$36)*D24</f>
        <v>412.5</v>
      </c>
      <c r="E33" s="161">
        <f>(E28/'Inputs &amp; Assumptions'!$B$36)*E24</f>
        <v>1650</v>
      </c>
      <c r="F33" s="161">
        <f>(F28/'Inputs &amp; Assumptions'!$B$36)*F24</f>
        <v>4725</v>
      </c>
      <c r="G33" s="161">
        <f>(G28/'Inputs &amp; Assumptions'!$B$36)*G24</f>
        <v>3150</v>
      </c>
      <c r="H33" s="161">
        <f>(H28/'Inputs &amp; Assumptions'!$B$36)*H24</f>
        <v>550</v>
      </c>
      <c r="I33" s="161">
        <f>(I28/'Inputs &amp; Assumptions'!$B$36)*I24</f>
        <v>412.5</v>
      </c>
      <c r="J33" s="150"/>
      <c r="K33" s="150"/>
    </row>
    <row r="34" spans="3:11" ht="15.75" customHeight="1">
      <c r="C34" s="163" t="s">
        <v>101</v>
      </c>
      <c r="D34" s="164">
        <f t="shared" ref="D34:E34" si="5">D33+D31</f>
        <v>7162.5</v>
      </c>
      <c r="E34" s="164">
        <f t="shared" si="5"/>
        <v>28650</v>
      </c>
      <c r="F34" s="164">
        <f t="shared" ref="F34:G34" si="6">F33+F32</f>
        <v>79725</v>
      </c>
      <c r="G34" s="164">
        <f t="shared" si="6"/>
        <v>53150</v>
      </c>
      <c r="H34" s="164">
        <f t="shared" ref="H34:I34" si="7">H33+H31</f>
        <v>9550</v>
      </c>
      <c r="I34" s="164">
        <f t="shared" si="7"/>
        <v>772.5</v>
      </c>
      <c r="J34" s="150"/>
      <c r="K34" s="150"/>
    </row>
    <row r="35" spans="3:11" ht="15.75" customHeight="1">
      <c r="C35" s="165" t="s">
        <v>117</v>
      </c>
      <c r="D35" s="166">
        <f t="shared" ref="D35:I35" si="8">D34/$C$14</f>
        <v>14.324999999999999</v>
      </c>
      <c r="E35" s="166">
        <f t="shared" si="8"/>
        <v>57.3</v>
      </c>
      <c r="F35" s="166">
        <f t="shared" si="8"/>
        <v>159.44999999999999</v>
      </c>
      <c r="G35" s="166">
        <f t="shared" si="8"/>
        <v>106.3</v>
      </c>
      <c r="H35" s="166">
        <f t="shared" si="8"/>
        <v>19.100000000000001</v>
      </c>
      <c r="I35" s="166">
        <f t="shared" si="8"/>
        <v>1.5449999999999999</v>
      </c>
      <c r="J35" s="150"/>
      <c r="K35" s="150"/>
    </row>
    <row r="36" spans="3:11" ht="15.75" customHeight="1">
      <c r="C36" s="165" t="s">
        <v>120</v>
      </c>
      <c r="D36" s="167">
        <f t="shared" ref="D36:I36" si="9">D34/(36*$C$12)</f>
        <v>2.652777777777778E-4</v>
      </c>
      <c r="E36" s="167">
        <f t="shared" si="9"/>
        <v>1.0611111111111112E-3</v>
      </c>
      <c r="F36" s="167">
        <f t="shared" si="9"/>
        <v>2.9527777777777777E-3</v>
      </c>
      <c r="G36" s="167">
        <f t="shared" si="9"/>
        <v>1.9685185185185183E-3</v>
      </c>
      <c r="H36" s="167">
        <f t="shared" si="9"/>
        <v>3.5370370370370368E-4</v>
      </c>
      <c r="I36" s="167">
        <f t="shared" si="9"/>
        <v>2.861111111111111E-5</v>
      </c>
      <c r="J36" s="150"/>
      <c r="K36" s="150"/>
    </row>
    <row r="37" spans="3:11" ht="15.75" customHeight="1">
      <c r="C37" s="165"/>
      <c r="D37" s="166"/>
      <c r="E37" s="166"/>
      <c r="F37" s="166"/>
      <c r="G37" s="166"/>
      <c r="H37" s="166"/>
      <c r="I37" s="166"/>
      <c r="J37" s="150"/>
      <c r="K37" s="150"/>
    </row>
    <row r="38" spans="3:11" ht="15.75" customHeight="1">
      <c r="C38" s="232" t="s">
        <v>56</v>
      </c>
      <c r="D38" s="231" t="s">
        <v>5</v>
      </c>
      <c r="E38" s="231" t="s">
        <v>6</v>
      </c>
      <c r="F38" s="231" t="s">
        <v>7</v>
      </c>
      <c r="G38" s="231" t="s">
        <v>8</v>
      </c>
      <c r="H38" s="231" t="s">
        <v>9</v>
      </c>
      <c r="I38" s="231" t="s">
        <v>10</v>
      </c>
      <c r="J38" s="231"/>
      <c r="K38" s="231" t="s">
        <v>11</v>
      </c>
    </row>
    <row r="39" spans="3:11" ht="15.75" customHeight="1">
      <c r="C39" s="233" t="s">
        <v>124</v>
      </c>
      <c r="D39" s="234"/>
      <c r="E39" s="234"/>
      <c r="F39" s="234"/>
      <c r="G39" s="234"/>
      <c r="H39" s="234"/>
      <c r="I39" s="235"/>
      <c r="J39" s="236"/>
      <c r="K39" s="236"/>
    </row>
    <row r="40" spans="3:11" ht="15.75" customHeight="1">
      <c r="C40" s="165"/>
      <c r="D40" s="166"/>
      <c r="E40" s="166"/>
      <c r="F40" s="166"/>
      <c r="G40" s="166"/>
      <c r="H40" s="166"/>
      <c r="I40" s="166"/>
      <c r="J40" s="150"/>
      <c r="K40" s="150"/>
    </row>
    <row r="41" spans="3:11" ht="15.75" customHeight="1">
      <c r="C41" s="168" t="s">
        <v>125</v>
      </c>
      <c r="D41" s="169"/>
      <c r="E41" s="169"/>
      <c r="F41" s="169"/>
      <c r="G41" s="169"/>
      <c r="H41" s="169"/>
      <c r="I41" s="170"/>
      <c r="J41" s="150"/>
      <c r="K41" s="150"/>
    </row>
    <row r="42" spans="3:11" ht="15.75" customHeight="1">
      <c r="C42" s="155" t="s">
        <v>127</v>
      </c>
      <c r="D42" s="171">
        <f t="shared" ref="D42:I42" si="10">$C$12</f>
        <v>750000</v>
      </c>
      <c r="E42" s="171">
        <f t="shared" si="10"/>
        <v>750000</v>
      </c>
      <c r="F42" s="171">
        <f t="shared" si="10"/>
        <v>750000</v>
      </c>
      <c r="G42" s="171">
        <f t="shared" si="10"/>
        <v>750000</v>
      </c>
      <c r="H42" s="171">
        <f t="shared" si="10"/>
        <v>750000</v>
      </c>
      <c r="I42" s="171">
        <f t="shared" si="10"/>
        <v>750000</v>
      </c>
      <c r="J42" s="150"/>
      <c r="K42" s="150"/>
    </row>
    <row r="43" spans="3:11" ht="15.75" customHeight="1">
      <c r="C43" s="155" t="s">
        <v>128</v>
      </c>
      <c r="D43" s="171">
        <f t="shared" ref="D43:I43" si="11">D42*$E$6</f>
        <v>2250000</v>
      </c>
      <c r="E43" s="171">
        <f t="shared" si="11"/>
        <v>2250000</v>
      </c>
      <c r="F43" s="171">
        <f t="shared" si="11"/>
        <v>2250000</v>
      </c>
      <c r="G43" s="171">
        <f t="shared" si="11"/>
        <v>2250000</v>
      </c>
      <c r="H43" s="171">
        <f t="shared" si="11"/>
        <v>2250000</v>
      </c>
      <c r="I43" s="171">
        <f t="shared" si="11"/>
        <v>2250000</v>
      </c>
      <c r="J43" s="150"/>
      <c r="K43" s="150"/>
    </row>
    <row r="44" spans="3:11" ht="15.75" customHeight="1">
      <c r="C44" s="155" t="s">
        <v>130</v>
      </c>
      <c r="D44" s="171">
        <f t="shared" ref="D44:I44" si="12">$C$6</f>
        <v>12</v>
      </c>
      <c r="E44" s="171">
        <f t="shared" si="12"/>
        <v>12</v>
      </c>
      <c r="F44" s="171">
        <f t="shared" si="12"/>
        <v>12</v>
      </c>
      <c r="G44" s="171">
        <f t="shared" si="12"/>
        <v>12</v>
      </c>
      <c r="H44" s="171">
        <f t="shared" si="12"/>
        <v>12</v>
      </c>
      <c r="I44" s="171">
        <f t="shared" si="12"/>
        <v>12</v>
      </c>
      <c r="J44" s="150"/>
      <c r="K44" s="150"/>
    </row>
    <row r="45" spans="3:11" ht="15.75" customHeight="1">
      <c r="C45" s="172" t="s">
        <v>132</v>
      </c>
      <c r="D45" s="173">
        <f t="shared" ref="D45:I45" si="13">D44*D42</f>
        <v>9000000</v>
      </c>
      <c r="E45" s="173">
        <f t="shared" si="13"/>
        <v>9000000</v>
      </c>
      <c r="F45" s="173">
        <f t="shared" si="13"/>
        <v>9000000</v>
      </c>
      <c r="G45" s="173">
        <f t="shared" si="13"/>
        <v>9000000</v>
      </c>
      <c r="H45" s="173">
        <f t="shared" si="13"/>
        <v>9000000</v>
      </c>
      <c r="I45" s="173">
        <f t="shared" si="13"/>
        <v>9000000</v>
      </c>
      <c r="J45" s="150"/>
      <c r="K45" s="150"/>
    </row>
    <row r="46" spans="3:11" ht="15.75" customHeight="1">
      <c r="C46" s="174"/>
      <c r="D46" s="150"/>
      <c r="E46" s="150"/>
      <c r="F46" s="150"/>
      <c r="G46" s="150"/>
      <c r="H46" s="150"/>
      <c r="I46" s="150"/>
      <c r="J46" s="150"/>
      <c r="K46" s="150"/>
    </row>
    <row r="47" spans="3:11" ht="15.75" customHeight="1">
      <c r="C47" s="174"/>
      <c r="D47" s="150"/>
      <c r="E47" s="150"/>
      <c r="F47" s="150"/>
      <c r="G47" s="150"/>
      <c r="H47" s="150"/>
      <c r="I47" s="150"/>
      <c r="J47" s="150"/>
      <c r="K47" s="150"/>
    </row>
    <row r="48" spans="3:11" ht="15.75" customHeight="1">
      <c r="C48" s="174" t="s">
        <v>134</v>
      </c>
      <c r="D48" s="150"/>
      <c r="E48" s="150">
        <f>'Inputs &amp; Assumptions'!C7</f>
        <v>1.5</v>
      </c>
      <c r="F48" s="150">
        <f>'Inputs &amp; Assumptions'!C7</f>
        <v>1.5</v>
      </c>
      <c r="G48" s="150"/>
      <c r="H48" s="150">
        <v>0</v>
      </c>
      <c r="I48" s="150">
        <v>0</v>
      </c>
      <c r="J48" s="150"/>
      <c r="K48" s="150"/>
    </row>
    <row r="49" spans="3:11" ht="15.75" customHeight="1">
      <c r="C49" s="155" t="s">
        <v>135</v>
      </c>
      <c r="D49" s="150"/>
      <c r="E49" s="161">
        <f t="shared" ref="E49:F49" si="14">(E48/100)*E43</f>
        <v>33750</v>
      </c>
      <c r="F49" s="161">
        <f t="shared" si="14"/>
        <v>33750</v>
      </c>
      <c r="G49" s="175"/>
      <c r="H49" s="150"/>
      <c r="I49" s="150"/>
      <c r="J49" s="150"/>
      <c r="K49" s="150"/>
    </row>
    <row r="50" spans="3:11" ht="15.75" customHeight="1">
      <c r="C50" s="155" t="s">
        <v>136</v>
      </c>
      <c r="D50" s="150">
        <f>'Inputs &amp; Assumptions'!C11</f>
        <v>3</v>
      </c>
      <c r="E50" s="175"/>
      <c r="F50" s="175"/>
      <c r="G50" s="175"/>
      <c r="H50" s="150"/>
      <c r="I50" s="150">
        <f>'Inputs &amp; Assumptions'!C8</f>
        <v>6.5</v>
      </c>
      <c r="J50" s="150"/>
      <c r="K50" s="150"/>
    </row>
    <row r="51" spans="3:11" ht="15.75" customHeight="1">
      <c r="C51" s="155" t="s">
        <v>137</v>
      </c>
      <c r="D51" s="161">
        <f>(D50/100)*D43</f>
        <v>67500</v>
      </c>
      <c r="E51" s="175"/>
      <c r="F51" s="175"/>
      <c r="G51" s="175"/>
      <c r="H51" s="150"/>
      <c r="I51" s="161">
        <f>(I50/100)*I43</f>
        <v>146250</v>
      </c>
      <c r="J51" s="150"/>
      <c r="K51" s="150"/>
    </row>
    <row r="52" spans="3:11" ht="15.75" customHeight="1">
      <c r="C52" s="155" t="s">
        <v>138</v>
      </c>
      <c r="D52" s="150">
        <f>'Inputs &amp; Assumptions'!D11</f>
        <v>0.6</v>
      </c>
      <c r="E52" s="175"/>
      <c r="F52" s="175"/>
      <c r="G52" s="175"/>
      <c r="H52" s="150"/>
      <c r="I52" s="150"/>
      <c r="J52" s="150"/>
      <c r="K52" s="150"/>
    </row>
    <row r="53" spans="3:11" ht="15.75" customHeight="1">
      <c r="C53" s="155" t="s">
        <v>137</v>
      </c>
      <c r="D53" s="161">
        <f>D52/100*D45</f>
        <v>54000</v>
      </c>
      <c r="E53" s="175"/>
      <c r="F53" s="175"/>
      <c r="G53" s="175"/>
      <c r="H53" s="150"/>
      <c r="I53" s="150"/>
      <c r="J53" s="150"/>
      <c r="K53" s="150"/>
    </row>
    <row r="54" spans="3:11" ht="15.75" customHeight="1">
      <c r="C54" s="163" t="s">
        <v>139</v>
      </c>
      <c r="D54" s="164">
        <f t="shared" ref="D54:F54" si="15">D53+D51+D49</f>
        <v>121500</v>
      </c>
      <c r="E54" s="164">
        <f t="shared" si="15"/>
        <v>33750</v>
      </c>
      <c r="F54" s="164">
        <f t="shared" si="15"/>
        <v>33750</v>
      </c>
      <c r="G54" s="164">
        <v>0</v>
      </c>
      <c r="H54" s="164">
        <f t="shared" ref="H54:I54" si="16">H53+H51+H49</f>
        <v>0</v>
      </c>
      <c r="I54" s="164">
        <f t="shared" si="16"/>
        <v>146250</v>
      </c>
      <c r="J54" s="150"/>
      <c r="K54" s="176" t="s">
        <v>140</v>
      </c>
    </row>
    <row r="55" spans="3:11" ht="15.75" customHeight="1">
      <c r="C55" s="151"/>
      <c r="D55" s="175"/>
      <c r="E55" s="175"/>
      <c r="F55" s="175"/>
      <c r="G55" s="175"/>
      <c r="H55" s="150"/>
      <c r="I55" s="150"/>
      <c r="J55" s="150"/>
      <c r="K55" s="150"/>
    </row>
    <row r="56" spans="3:11" ht="15.75" customHeight="1">
      <c r="C56" s="155" t="s">
        <v>141</v>
      </c>
      <c r="D56" s="175"/>
      <c r="E56" s="177">
        <f>'Inputs &amp; Assumptions'!B41</f>
        <v>0.7</v>
      </c>
      <c r="F56" s="177">
        <f>'Inputs &amp; Assumptions'!D41</f>
        <v>0.6</v>
      </c>
      <c r="G56" s="178">
        <v>0.08</v>
      </c>
      <c r="H56" s="177">
        <v>1</v>
      </c>
      <c r="I56" s="150"/>
      <c r="J56" s="150"/>
      <c r="K56" s="150"/>
    </row>
    <row r="57" spans="3:11" ht="15.75" customHeight="1">
      <c r="C57" s="155" t="s">
        <v>142</v>
      </c>
      <c r="D57" s="175"/>
      <c r="E57" s="175">
        <f t="shared" ref="E57:H57" si="17">E45*E56</f>
        <v>6300000</v>
      </c>
      <c r="F57" s="175">
        <f t="shared" si="17"/>
        <v>5400000</v>
      </c>
      <c r="G57" s="175">
        <f t="shared" si="17"/>
        <v>720000</v>
      </c>
      <c r="H57" s="175">
        <f t="shared" si="17"/>
        <v>9000000</v>
      </c>
      <c r="I57" s="150"/>
      <c r="J57" s="150"/>
      <c r="K57" s="150"/>
    </row>
    <row r="58" spans="3:11" ht="15.75" customHeight="1">
      <c r="C58" s="155" t="s">
        <v>143</v>
      </c>
      <c r="D58" s="175"/>
      <c r="E58" s="175">
        <f>E57/'Inputs &amp; Assumptions'!$B$34</f>
        <v>10500</v>
      </c>
      <c r="F58" s="175">
        <f>F57/'Inputs &amp; Assumptions'!$B$34</f>
        <v>9000</v>
      </c>
      <c r="G58" s="175">
        <f>G57/'Inputs &amp; Assumptions'!$B$34</f>
        <v>1200</v>
      </c>
      <c r="H58" s="175">
        <f>H57/'Inputs &amp; Assumptions'!$B$34</f>
        <v>15000</v>
      </c>
      <c r="I58" s="150"/>
      <c r="J58" s="150"/>
      <c r="K58" s="150"/>
    </row>
    <row r="59" spans="3:11" ht="15.75" customHeight="1">
      <c r="C59" s="155" t="s">
        <v>144</v>
      </c>
      <c r="D59" s="175"/>
      <c r="E59" s="161">
        <f t="shared" ref="E59:H59" si="18">E58*$E$22</f>
        <v>189000</v>
      </c>
      <c r="F59" s="161">
        <f t="shared" si="18"/>
        <v>162000</v>
      </c>
      <c r="G59" s="161">
        <f t="shared" si="18"/>
        <v>21600</v>
      </c>
      <c r="H59" s="161">
        <f t="shared" si="18"/>
        <v>270000</v>
      </c>
      <c r="I59" s="150"/>
      <c r="J59" s="150"/>
      <c r="K59" s="150"/>
    </row>
    <row r="60" spans="3:11" ht="15.75" customHeight="1">
      <c r="C60" s="155" t="s">
        <v>145</v>
      </c>
      <c r="D60" s="175"/>
      <c r="E60" s="179">
        <f t="shared" ref="E60:H60" si="19">E58/173</f>
        <v>60.693641618497111</v>
      </c>
      <c r="F60" s="179">
        <f t="shared" si="19"/>
        <v>52.02312138728324</v>
      </c>
      <c r="G60" s="179">
        <f t="shared" si="19"/>
        <v>6.9364161849710984</v>
      </c>
      <c r="H60" s="179">
        <f t="shared" si="19"/>
        <v>86.705202312138724</v>
      </c>
      <c r="I60" s="150"/>
      <c r="J60" s="150"/>
      <c r="K60" s="150"/>
    </row>
    <row r="61" spans="3:11" ht="15.75" customHeight="1">
      <c r="C61" s="155" t="s">
        <v>146</v>
      </c>
      <c r="D61" s="175"/>
      <c r="E61" s="180">
        <f t="shared" ref="E61:H61" si="20">E58/20</f>
        <v>525</v>
      </c>
      <c r="F61" s="180">
        <f t="shared" si="20"/>
        <v>450</v>
      </c>
      <c r="G61" s="180">
        <f t="shared" si="20"/>
        <v>60</v>
      </c>
      <c r="H61" s="180">
        <f t="shared" si="20"/>
        <v>750</v>
      </c>
      <c r="I61" s="150"/>
      <c r="J61" s="150"/>
      <c r="K61" s="150"/>
    </row>
    <row r="62" spans="3:11" ht="15.75" customHeight="1">
      <c r="C62" s="155" t="s">
        <v>147</v>
      </c>
      <c r="D62" s="175"/>
      <c r="E62" s="161">
        <f t="shared" ref="E62:H62" si="21">E61*E$24</f>
        <v>11550</v>
      </c>
      <c r="F62" s="161">
        <f t="shared" si="21"/>
        <v>28350</v>
      </c>
      <c r="G62" s="161">
        <f t="shared" si="21"/>
        <v>3780</v>
      </c>
      <c r="H62" s="161">
        <f t="shared" si="21"/>
        <v>16500</v>
      </c>
      <c r="I62" s="150"/>
      <c r="J62" s="150"/>
      <c r="K62" s="150"/>
    </row>
    <row r="63" spans="3:11" ht="15.75" customHeight="1">
      <c r="C63" s="181" t="s">
        <v>148</v>
      </c>
      <c r="D63" s="182"/>
      <c r="E63" s="164">
        <f t="shared" ref="E63:H63" si="22">E62+E59</f>
        <v>200550</v>
      </c>
      <c r="F63" s="164">
        <f t="shared" si="22"/>
        <v>190350</v>
      </c>
      <c r="G63" s="164">
        <f t="shared" si="22"/>
        <v>25380</v>
      </c>
      <c r="H63" s="164">
        <f t="shared" si="22"/>
        <v>286500</v>
      </c>
      <c r="I63" s="183"/>
      <c r="J63" s="150"/>
      <c r="K63" s="150"/>
    </row>
    <row r="64" spans="3:11" ht="15.75" customHeight="1">
      <c r="C64" s="155"/>
      <c r="D64" s="175"/>
      <c r="E64" s="175"/>
      <c r="F64" s="175"/>
      <c r="G64" s="175"/>
      <c r="H64" s="175"/>
      <c r="I64" s="184"/>
      <c r="J64" s="150"/>
      <c r="K64" s="150"/>
    </row>
    <row r="65" spans="3:11" ht="15.75" customHeight="1">
      <c r="C65" s="172" t="s">
        <v>149</v>
      </c>
      <c r="D65" s="164">
        <f t="shared" ref="D65:I65" si="23">D63+D54</f>
        <v>121500</v>
      </c>
      <c r="E65" s="164">
        <f t="shared" si="23"/>
        <v>234300</v>
      </c>
      <c r="F65" s="164">
        <f t="shared" si="23"/>
        <v>224100</v>
      </c>
      <c r="G65" s="164">
        <f t="shared" si="23"/>
        <v>25380</v>
      </c>
      <c r="H65" s="164">
        <f t="shared" si="23"/>
        <v>286500</v>
      </c>
      <c r="I65" s="164">
        <f t="shared" si="23"/>
        <v>146250</v>
      </c>
      <c r="J65" s="150"/>
      <c r="K65" s="150"/>
    </row>
    <row r="66" spans="3:11" ht="15.75" customHeight="1">
      <c r="C66" s="165" t="s">
        <v>150</v>
      </c>
      <c r="D66" s="166">
        <f t="shared" ref="D66:I66" si="24">(D54+D63)/$C$12</f>
        <v>0.16200000000000001</v>
      </c>
      <c r="E66" s="166">
        <f t="shared" si="24"/>
        <v>0.31240000000000001</v>
      </c>
      <c r="F66" s="166">
        <f t="shared" si="24"/>
        <v>0.29880000000000001</v>
      </c>
      <c r="G66" s="166">
        <f t="shared" si="24"/>
        <v>3.3840000000000002E-2</v>
      </c>
      <c r="H66" s="166">
        <f t="shared" si="24"/>
        <v>0.38200000000000001</v>
      </c>
      <c r="I66" s="166">
        <f t="shared" si="24"/>
        <v>0.19500000000000001</v>
      </c>
      <c r="J66" s="150"/>
      <c r="K66" s="150"/>
    </row>
    <row r="67" spans="3:11" ht="15.75" customHeight="1">
      <c r="C67" s="185" t="s">
        <v>151</v>
      </c>
      <c r="D67" s="186">
        <f t="shared" ref="D67:I67" si="25">D65/D45</f>
        <v>1.35E-2</v>
      </c>
      <c r="E67" s="186">
        <f t="shared" si="25"/>
        <v>2.6033333333333332E-2</v>
      </c>
      <c r="F67" s="186">
        <f t="shared" si="25"/>
        <v>2.4899999999999999E-2</v>
      </c>
      <c r="G67" s="186">
        <f t="shared" si="25"/>
        <v>2.82E-3</v>
      </c>
      <c r="H67" s="186">
        <f t="shared" si="25"/>
        <v>3.1833333333333332E-2</v>
      </c>
      <c r="I67" s="186">
        <f t="shared" si="25"/>
        <v>1.6250000000000001E-2</v>
      </c>
      <c r="J67" s="150"/>
      <c r="K67" s="150"/>
    </row>
    <row r="68" spans="3:11" ht="15.75" customHeight="1">
      <c r="C68" s="150"/>
      <c r="D68" s="150"/>
      <c r="E68" s="150"/>
      <c r="F68" s="150"/>
      <c r="G68" s="150"/>
      <c r="H68" s="150"/>
      <c r="I68" s="150"/>
      <c r="J68" s="150"/>
      <c r="K68" s="150"/>
    </row>
    <row r="69" spans="3:11" ht="15.75" customHeight="1">
      <c r="C69" s="232" t="s">
        <v>56</v>
      </c>
      <c r="D69" s="231" t="s">
        <v>5</v>
      </c>
      <c r="E69" s="231" t="s">
        <v>6</v>
      </c>
      <c r="F69" s="231" t="s">
        <v>7</v>
      </c>
      <c r="G69" s="231" t="s">
        <v>8</v>
      </c>
      <c r="H69" s="231" t="s">
        <v>9</v>
      </c>
      <c r="I69" s="231" t="s">
        <v>10</v>
      </c>
      <c r="J69" s="231"/>
      <c r="K69" s="231" t="s">
        <v>11</v>
      </c>
    </row>
    <row r="70" spans="3:11" ht="15.75" customHeight="1">
      <c r="C70" s="233" t="s">
        <v>152</v>
      </c>
      <c r="D70" s="234"/>
      <c r="E70" s="234"/>
      <c r="F70" s="234"/>
      <c r="G70" s="234"/>
      <c r="H70" s="234"/>
      <c r="I70" s="235"/>
      <c r="J70" s="236"/>
      <c r="K70" s="236"/>
    </row>
    <row r="71" spans="3:11" ht="15.75" customHeight="1">
      <c r="C71" s="155" t="s">
        <v>133</v>
      </c>
      <c r="D71" s="187">
        <f>'Inputs &amp; Assumptions'!H6</f>
        <v>0.02</v>
      </c>
      <c r="E71" s="187">
        <f>'Inputs &amp; Assumptions'!I6</f>
        <v>0.06</v>
      </c>
      <c r="F71" s="187">
        <f>'Inputs &amp; Assumptions'!J6</f>
        <v>0.06</v>
      </c>
      <c r="G71" s="187">
        <v>0.04</v>
      </c>
      <c r="H71" s="187">
        <f>'Inputs &amp; Assumptions'!L6</f>
        <v>0.12</v>
      </c>
      <c r="I71" s="187">
        <f>'Inputs &amp; Assumptions'!M6</f>
        <v>0.08</v>
      </c>
      <c r="J71" s="188"/>
      <c r="K71" s="188"/>
    </row>
    <row r="72" spans="3:11" ht="15.75" customHeight="1">
      <c r="C72" s="155" t="s">
        <v>153</v>
      </c>
      <c r="D72" s="189">
        <v>0.5</v>
      </c>
      <c r="E72" s="189">
        <v>0.5</v>
      </c>
      <c r="F72" s="189">
        <v>0.5</v>
      </c>
      <c r="G72" s="189">
        <v>2</v>
      </c>
      <c r="H72" s="189">
        <v>1</v>
      </c>
      <c r="I72" s="189">
        <v>1</v>
      </c>
      <c r="J72" s="188"/>
      <c r="K72" s="190" t="s">
        <v>154</v>
      </c>
    </row>
    <row r="73" spans="3:11" ht="15.75" customHeight="1">
      <c r="C73" s="191" t="s">
        <v>155</v>
      </c>
      <c r="D73" s="175">
        <f t="shared" ref="D73:I73" si="26">D45*D71</f>
        <v>180000</v>
      </c>
      <c r="E73" s="175">
        <f t="shared" si="26"/>
        <v>540000</v>
      </c>
      <c r="F73" s="175">
        <f t="shared" si="26"/>
        <v>540000</v>
      </c>
      <c r="G73" s="175">
        <f t="shared" si="26"/>
        <v>360000</v>
      </c>
      <c r="H73" s="175">
        <f t="shared" si="26"/>
        <v>1080000</v>
      </c>
      <c r="I73" s="175">
        <f t="shared" si="26"/>
        <v>720000</v>
      </c>
      <c r="J73" s="188"/>
      <c r="K73" s="188"/>
    </row>
    <row r="74" spans="3:11" ht="15.75" customHeight="1">
      <c r="C74" s="191" t="s">
        <v>156</v>
      </c>
      <c r="D74" s="175">
        <f t="shared" ref="D74:I74" si="27">D73*D72/60</f>
        <v>1500</v>
      </c>
      <c r="E74" s="175">
        <f t="shared" si="27"/>
        <v>4500</v>
      </c>
      <c r="F74" s="175">
        <f t="shared" si="27"/>
        <v>4500</v>
      </c>
      <c r="G74" s="175">
        <f t="shared" si="27"/>
        <v>12000</v>
      </c>
      <c r="H74" s="175">
        <f t="shared" si="27"/>
        <v>18000</v>
      </c>
      <c r="I74" s="175">
        <f t="shared" si="27"/>
        <v>12000</v>
      </c>
      <c r="J74" s="188"/>
      <c r="K74" s="188"/>
    </row>
    <row r="75" spans="3:11" ht="15.75" customHeight="1">
      <c r="C75" s="191" t="s">
        <v>157</v>
      </c>
      <c r="D75" s="179">
        <f t="shared" ref="D75:I75" si="28">D74/173</f>
        <v>8.6705202312138727</v>
      </c>
      <c r="E75" s="179">
        <f t="shared" si="28"/>
        <v>26.01156069364162</v>
      </c>
      <c r="F75" s="179">
        <f t="shared" si="28"/>
        <v>26.01156069364162</v>
      </c>
      <c r="G75" s="179">
        <f t="shared" si="28"/>
        <v>69.364161849710982</v>
      </c>
      <c r="H75" s="179">
        <f t="shared" si="28"/>
        <v>104.04624277456648</v>
      </c>
      <c r="I75" s="179">
        <f t="shared" si="28"/>
        <v>69.364161849710982</v>
      </c>
      <c r="J75" s="188"/>
      <c r="K75" s="188"/>
    </row>
    <row r="76" spans="3:11" ht="15.75" customHeight="1">
      <c r="C76" s="155" t="s">
        <v>64</v>
      </c>
      <c r="D76" s="157">
        <f t="shared" ref="D76:E76" si="29">D22</f>
        <v>18</v>
      </c>
      <c r="E76" s="157">
        <f t="shared" si="29"/>
        <v>18</v>
      </c>
      <c r="F76" s="157">
        <f t="shared" ref="F76:G76" si="30">E76</f>
        <v>18</v>
      </c>
      <c r="G76" s="157">
        <f t="shared" si="30"/>
        <v>18</v>
      </c>
      <c r="H76" s="157">
        <f>H22</f>
        <v>18</v>
      </c>
      <c r="I76" s="157">
        <f>H76</f>
        <v>18</v>
      </c>
      <c r="J76" s="188"/>
      <c r="K76" s="188"/>
    </row>
    <row r="77" spans="3:11" ht="15.75" customHeight="1">
      <c r="C77" s="191" t="s">
        <v>158</v>
      </c>
      <c r="D77" s="158">
        <f t="shared" ref="D77:I77" si="31">D76*D74</f>
        <v>27000</v>
      </c>
      <c r="E77" s="158">
        <f t="shared" si="31"/>
        <v>81000</v>
      </c>
      <c r="F77" s="158">
        <f t="shared" si="31"/>
        <v>81000</v>
      </c>
      <c r="G77" s="158">
        <f t="shared" si="31"/>
        <v>216000</v>
      </c>
      <c r="H77" s="158">
        <f t="shared" si="31"/>
        <v>324000</v>
      </c>
      <c r="I77" s="158">
        <f t="shared" si="31"/>
        <v>216000</v>
      </c>
      <c r="J77" s="188"/>
      <c r="K77" s="188"/>
    </row>
    <row r="78" spans="3:11" ht="15.75" customHeight="1">
      <c r="C78" s="191" t="s">
        <v>146</v>
      </c>
      <c r="D78" s="179">
        <f>D74/'Inputs &amp; Assumptions'!$B$36</f>
        <v>75</v>
      </c>
      <c r="E78" s="179">
        <f>E74/'Inputs &amp; Assumptions'!$B$36</f>
        <v>225</v>
      </c>
      <c r="F78" s="179">
        <f>F74/'Inputs &amp; Assumptions'!$B$36</f>
        <v>225</v>
      </c>
      <c r="G78" s="179">
        <f>G74/'Inputs &amp; Assumptions'!$B$36</f>
        <v>600</v>
      </c>
      <c r="H78" s="179">
        <f>H74/'Inputs &amp; Assumptions'!$B$36</f>
        <v>900</v>
      </c>
      <c r="I78" s="179">
        <f>I74/'Inputs &amp; Assumptions'!$B$36</f>
        <v>600</v>
      </c>
      <c r="J78" s="188"/>
      <c r="K78" s="188"/>
    </row>
    <row r="79" spans="3:11" ht="15.75" customHeight="1">
      <c r="C79" s="155" t="s">
        <v>147</v>
      </c>
      <c r="D79" s="158">
        <f t="shared" ref="D79:I79" si="32">D78*$D$24</f>
        <v>1650</v>
      </c>
      <c r="E79" s="158">
        <f t="shared" si="32"/>
        <v>4950</v>
      </c>
      <c r="F79" s="158">
        <f t="shared" si="32"/>
        <v>4950</v>
      </c>
      <c r="G79" s="158">
        <f t="shared" si="32"/>
        <v>13200</v>
      </c>
      <c r="H79" s="158">
        <f t="shared" si="32"/>
        <v>19800</v>
      </c>
      <c r="I79" s="158">
        <f t="shared" si="32"/>
        <v>13200</v>
      </c>
      <c r="J79" s="188"/>
      <c r="K79" s="188"/>
    </row>
    <row r="80" spans="3:11" ht="15.75" customHeight="1">
      <c r="C80" s="163" t="s">
        <v>159</v>
      </c>
      <c r="D80" s="164">
        <f t="shared" ref="D80:I80" si="33">D79+D77</f>
        <v>28650</v>
      </c>
      <c r="E80" s="164">
        <f t="shared" si="33"/>
        <v>85950</v>
      </c>
      <c r="F80" s="164">
        <f t="shared" si="33"/>
        <v>85950</v>
      </c>
      <c r="G80" s="164">
        <f t="shared" si="33"/>
        <v>229200</v>
      </c>
      <c r="H80" s="164">
        <f t="shared" si="33"/>
        <v>343800</v>
      </c>
      <c r="I80" s="164">
        <f t="shared" si="33"/>
        <v>229200</v>
      </c>
      <c r="J80" s="188"/>
      <c r="K80" s="188"/>
    </row>
    <row r="81" spans="3:11" ht="15.75" customHeight="1">
      <c r="C81" s="165" t="s">
        <v>160</v>
      </c>
      <c r="D81" s="166">
        <f t="shared" ref="D81:I81" si="34">D80/$C$12</f>
        <v>3.8199999999999998E-2</v>
      </c>
      <c r="E81" s="166">
        <f t="shared" si="34"/>
        <v>0.11459999999999999</v>
      </c>
      <c r="F81" s="166">
        <f t="shared" si="34"/>
        <v>0.11459999999999999</v>
      </c>
      <c r="G81" s="166">
        <f t="shared" si="34"/>
        <v>0.30559999999999998</v>
      </c>
      <c r="H81" s="166">
        <f t="shared" si="34"/>
        <v>0.45839999999999997</v>
      </c>
      <c r="I81" s="166">
        <f t="shared" si="34"/>
        <v>0.30559999999999998</v>
      </c>
      <c r="J81" s="188"/>
      <c r="K81" s="188"/>
    </row>
    <row r="82" spans="3:11" ht="15.75" customHeight="1">
      <c r="C82" s="165" t="s">
        <v>161</v>
      </c>
      <c r="D82" s="166">
        <f t="shared" ref="D82:I82" si="35">D80/D73</f>
        <v>0.15916666666666668</v>
      </c>
      <c r="E82" s="166">
        <f t="shared" si="35"/>
        <v>0.15916666666666668</v>
      </c>
      <c r="F82" s="166">
        <f t="shared" si="35"/>
        <v>0.15916666666666668</v>
      </c>
      <c r="G82" s="166">
        <f t="shared" si="35"/>
        <v>0.63666666666666671</v>
      </c>
      <c r="H82" s="166">
        <f t="shared" si="35"/>
        <v>0.31833333333333336</v>
      </c>
      <c r="I82" s="166">
        <f t="shared" si="35"/>
        <v>0.31833333333333336</v>
      </c>
      <c r="J82" s="188"/>
      <c r="K82" s="188"/>
    </row>
    <row r="83" spans="3:11" ht="15.75" customHeight="1">
      <c r="C83" s="150"/>
      <c r="D83" s="166"/>
      <c r="E83" s="166"/>
      <c r="F83" s="166"/>
      <c r="G83" s="166"/>
      <c r="H83" s="166"/>
      <c r="I83" s="166"/>
      <c r="J83" s="188"/>
      <c r="K83" s="188"/>
    </row>
    <row r="84" spans="3:11" ht="15.75" customHeight="1">
      <c r="C84" s="165" t="s">
        <v>162</v>
      </c>
      <c r="D84" s="192">
        <f t="shared" ref="D84:F84" si="36">D82/D67</f>
        <v>11.790123456790125</v>
      </c>
      <c r="E84" s="192">
        <f t="shared" si="36"/>
        <v>6.1139564660691432</v>
      </c>
      <c r="F84" s="192">
        <f t="shared" si="36"/>
        <v>6.3922356091030794</v>
      </c>
      <c r="G84" s="192"/>
      <c r="H84" s="192">
        <f t="shared" ref="H84:I84" si="37">H82/H67</f>
        <v>10.000000000000002</v>
      </c>
      <c r="I84" s="192">
        <f t="shared" si="37"/>
        <v>19.589743589743591</v>
      </c>
      <c r="J84" s="193">
        <f>AVERAGE(D84:I84)</f>
        <v>10.777211824341189</v>
      </c>
      <c r="K84" s="194" t="s">
        <v>163</v>
      </c>
    </row>
    <row r="85" spans="3:11" ht="15.75" customHeight="1">
      <c r="C85" s="165"/>
      <c r="D85" s="166"/>
      <c r="E85" s="166"/>
      <c r="F85" s="166"/>
      <c r="G85" s="166"/>
      <c r="H85" s="166"/>
      <c r="I85" s="166"/>
      <c r="J85" s="188"/>
      <c r="K85" s="188"/>
    </row>
    <row r="86" spans="3:11" ht="15.75" customHeight="1">
      <c r="C86" s="232" t="s">
        <v>56</v>
      </c>
      <c r="D86" s="231" t="s">
        <v>5</v>
      </c>
      <c r="E86" s="231" t="s">
        <v>6</v>
      </c>
      <c r="F86" s="231" t="s">
        <v>7</v>
      </c>
      <c r="G86" s="231" t="s">
        <v>8</v>
      </c>
      <c r="H86" s="231" t="s">
        <v>9</v>
      </c>
      <c r="I86" s="231" t="s">
        <v>10</v>
      </c>
      <c r="J86" s="231"/>
      <c r="K86" s="231" t="s">
        <v>11</v>
      </c>
    </row>
    <row r="87" spans="3:11" ht="15.75" customHeight="1">
      <c r="C87" s="233" t="s">
        <v>164</v>
      </c>
      <c r="D87" s="234"/>
      <c r="E87" s="234"/>
      <c r="F87" s="234"/>
      <c r="G87" s="234"/>
      <c r="H87" s="234"/>
      <c r="I87" s="235"/>
      <c r="J87" s="236"/>
      <c r="K87" s="236"/>
    </row>
    <row r="88" spans="3:11" ht="15.75" customHeight="1">
      <c r="C88" s="151"/>
      <c r="D88" s="175"/>
      <c r="E88" s="175"/>
      <c r="F88" s="175"/>
      <c r="G88" s="175"/>
      <c r="H88" s="175"/>
      <c r="I88" s="184"/>
      <c r="J88" s="150"/>
      <c r="K88" s="150"/>
    </row>
    <row r="89" spans="3:11" ht="15.75" customHeight="1">
      <c r="C89" s="160" t="s">
        <v>165</v>
      </c>
      <c r="D89" s="195">
        <f t="shared" ref="D89:I89" si="38">$C$16</f>
        <v>0.2</v>
      </c>
      <c r="E89" s="195">
        <f t="shared" si="38"/>
        <v>0.2</v>
      </c>
      <c r="F89" s="195">
        <f t="shared" si="38"/>
        <v>0.2</v>
      </c>
      <c r="G89" s="195">
        <f t="shared" si="38"/>
        <v>0.2</v>
      </c>
      <c r="H89" s="195">
        <f t="shared" si="38"/>
        <v>0.2</v>
      </c>
      <c r="I89" s="195">
        <f t="shared" si="38"/>
        <v>0.2</v>
      </c>
      <c r="J89" s="150"/>
      <c r="K89" s="150"/>
    </row>
    <row r="90" spans="3:11" ht="15.75" customHeight="1">
      <c r="C90" s="160" t="s">
        <v>166</v>
      </c>
      <c r="D90" s="195">
        <v>0.3</v>
      </c>
      <c r="E90" s="195">
        <v>1</v>
      </c>
      <c r="F90" s="195">
        <v>0.6</v>
      </c>
      <c r="G90" s="195">
        <v>0.4</v>
      </c>
      <c r="H90" s="195">
        <v>0.3</v>
      </c>
      <c r="I90" s="195">
        <v>0.3</v>
      </c>
      <c r="J90" s="150"/>
      <c r="K90" s="176" t="s">
        <v>167</v>
      </c>
    </row>
    <row r="91" spans="3:11" ht="15.75" customHeight="1">
      <c r="C91" s="155" t="s">
        <v>168</v>
      </c>
      <c r="D91" s="196">
        <f t="shared" ref="D91:I91" si="39">D89*$C$14*D90/12</f>
        <v>2.5</v>
      </c>
      <c r="E91" s="196">
        <f t="shared" si="39"/>
        <v>8.3333333333333339</v>
      </c>
      <c r="F91" s="196">
        <f t="shared" si="39"/>
        <v>5</v>
      </c>
      <c r="G91" s="196">
        <f t="shared" si="39"/>
        <v>3.3333333333333335</v>
      </c>
      <c r="H91" s="196">
        <f t="shared" si="39"/>
        <v>2.5</v>
      </c>
      <c r="I91" s="196">
        <f t="shared" si="39"/>
        <v>2.5</v>
      </c>
      <c r="J91" s="150"/>
      <c r="K91" s="150"/>
    </row>
    <row r="92" spans="3:11" ht="15.75" customHeight="1">
      <c r="C92" s="155" t="s">
        <v>169</v>
      </c>
      <c r="D92" s="197">
        <f>D35*'Inputs &amp; Assumptions'!$E$28</f>
        <v>3.5812499999999998</v>
      </c>
      <c r="E92" s="197">
        <f>E35*'Inputs &amp; Assumptions'!$E$28</f>
        <v>14.324999999999999</v>
      </c>
      <c r="F92" s="197">
        <f>F35*'Inputs &amp; Assumptions'!$E$28</f>
        <v>39.862499999999997</v>
      </c>
      <c r="G92" s="197">
        <f>G35*'Inputs &amp; Assumptions'!$E$28</f>
        <v>26.574999999999999</v>
      </c>
      <c r="H92" s="197">
        <f>H35*'Inputs &amp; Assumptions'!$E$28</f>
        <v>4.7750000000000004</v>
      </c>
      <c r="I92" s="197">
        <f>I35*'Inputs &amp; Assumptions'!$E$28</f>
        <v>0.38624999999999998</v>
      </c>
      <c r="J92" s="150"/>
      <c r="K92" s="150"/>
    </row>
    <row r="93" spans="3:11" ht="15.75" customHeight="1">
      <c r="C93" s="155"/>
      <c r="D93" s="198"/>
      <c r="E93" s="198"/>
      <c r="F93" s="198"/>
      <c r="G93" s="198"/>
      <c r="H93" s="198"/>
      <c r="I93" s="198"/>
      <c r="J93" s="150"/>
      <c r="K93" s="150"/>
    </row>
    <row r="94" spans="3:11" ht="27" customHeight="1">
      <c r="C94" s="228" t="s">
        <v>170</v>
      </c>
      <c r="D94" s="199">
        <f t="shared" ref="D94:I94" si="40">D92*D91</f>
        <v>8.953125</v>
      </c>
      <c r="E94" s="199">
        <f t="shared" si="40"/>
        <v>119.375</v>
      </c>
      <c r="F94" s="199">
        <f t="shared" si="40"/>
        <v>199.3125</v>
      </c>
      <c r="G94" s="199">
        <f t="shared" si="40"/>
        <v>88.583333333333329</v>
      </c>
      <c r="H94" s="199">
        <f t="shared" si="40"/>
        <v>11.9375</v>
      </c>
      <c r="I94" s="199">
        <f t="shared" si="40"/>
        <v>0.96562499999999996</v>
      </c>
      <c r="J94" s="150"/>
      <c r="K94" s="150"/>
    </row>
    <row r="95" spans="3:11" ht="15.75" customHeight="1">
      <c r="C95" s="200" t="s">
        <v>171</v>
      </c>
      <c r="D95" s="201">
        <f t="shared" ref="D95:I95" si="41">D94/$C$12</f>
        <v>1.19375E-5</v>
      </c>
      <c r="E95" s="201">
        <f t="shared" si="41"/>
        <v>1.5916666666666667E-4</v>
      </c>
      <c r="F95" s="201">
        <f t="shared" si="41"/>
        <v>2.6574999999999998E-4</v>
      </c>
      <c r="G95" s="201">
        <f t="shared" si="41"/>
        <v>1.1811111111111111E-4</v>
      </c>
      <c r="H95" s="201">
        <f t="shared" si="41"/>
        <v>1.5916666666666666E-5</v>
      </c>
      <c r="I95" s="201">
        <f t="shared" si="41"/>
        <v>1.2875E-6</v>
      </c>
      <c r="J95" s="150"/>
      <c r="K95" s="150"/>
    </row>
    <row r="96" spans="3:11" ht="15.75" customHeight="1">
      <c r="C96" s="151"/>
      <c r="D96" s="175"/>
      <c r="E96" s="175"/>
      <c r="F96" s="175"/>
      <c r="G96" s="175"/>
      <c r="H96" s="175"/>
      <c r="I96" s="175"/>
      <c r="J96" s="150"/>
      <c r="K96" s="150"/>
    </row>
    <row r="97" spans="3:11" ht="15.75" customHeight="1">
      <c r="C97" s="151"/>
      <c r="D97" s="175"/>
      <c r="E97" s="175"/>
      <c r="F97" s="175"/>
      <c r="G97" s="175"/>
      <c r="H97" s="175"/>
      <c r="I97" s="175"/>
      <c r="J97" s="150"/>
      <c r="K97" s="150"/>
    </row>
    <row r="98" spans="3:11" ht="28" customHeight="1">
      <c r="C98" s="237" t="s">
        <v>172</v>
      </c>
      <c r="D98" s="238"/>
      <c r="E98" s="238"/>
      <c r="F98" s="238"/>
      <c r="G98" s="238"/>
      <c r="H98" s="238"/>
      <c r="I98" s="238"/>
      <c r="J98" s="150"/>
      <c r="K98" s="150"/>
    </row>
    <row r="99" spans="3:11" ht="15.75" customHeight="1">
      <c r="C99" s="151"/>
      <c r="D99" s="175"/>
      <c r="E99" s="175"/>
      <c r="F99" s="175"/>
      <c r="G99" s="175"/>
      <c r="H99" s="175"/>
      <c r="I99" s="175"/>
      <c r="J99" s="150"/>
      <c r="K99" s="150"/>
    </row>
    <row r="100" spans="3:11" ht="15.75" customHeight="1">
      <c r="C100" s="202" t="s">
        <v>173</v>
      </c>
      <c r="D100" s="175"/>
      <c r="E100" s="175"/>
      <c r="F100" s="175"/>
      <c r="G100" s="175"/>
      <c r="H100" s="175"/>
      <c r="I100" s="175"/>
      <c r="J100" s="150"/>
      <c r="K100" s="150"/>
    </row>
    <row r="101" spans="3:11" ht="15.75" customHeight="1">
      <c r="C101" s="151"/>
      <c r="D101" s="175"/>
      <c r="E101" s="175"/>
      <c r="F101" s="175"/>
      <c r="G101" s="175"/>
      <c r="H101" s="175"/>
      <c r="I101" s="175"/>
      <c r="J101" s="150"/>
      <c r="K101" s="150"/>
    </row>
    <row r="102" spans="3:11" ht="15.75" customHeight="1">
      <c r="C102" s="232" t="s">
        <v>56</v>
      </c>
      <c r="D102" s="231" t="s">
        <v>5</v>
      </c>
      <c r="E102" s="231" t="s">
        <v>6</v>
      </c>
      <c r="F102" s="231" t="s">
        <v>7</v>
      </c>
      <c r="G102" s="231" t="s">
        <v>8</v>
      </c>
      <c r="H102" s="231" t="s">
        <v>9</v>
      </c>
      <c r="I102" s="231" t="s">
        <v>10</v>
      </c>
      <c r="J102" s="231"/>
      <c r="K102" s="231" t="s">
        <v>11</v>
      </c>
    </row>
    <row r="103" spans="3:11" ht="19" customHeight="1">
      <c r="C103" s="240" t="s">
        <v>174</v>
      </c>
      <c r="D103" s="239"/>
      <c r="E103" s="239"/>
      <c r="F103" s="239"/>
      <c r="G103" s="239"/>
      <c r="H103" s="239"/>
      <c r="I103" s="239"/>
      <c r="J103" s="150"/>
      <c r="K103" s="150"/>
    </row>
    <row r="104" spans="3:11" ht="15.75" customHeight="1">
      <c r="C104" s="155" t="s">
        <v>133</v>
      </c>
      <c r="D104" s="203">
        <f t="shared" ref="D104:F104" si="42">D71</f>
        <v>0.02</v>
      </c>
      <c r="E104" s="203">
        <f t="shared" si="42"/>
        <v>0.06</v>
      </c>
      <c r="F104" s="203">
        <f t="shared" si="42"/>
        <v>0.06</v>
      </c>
      <c r="G104" s="203">
        <v>0.02</v>
      </c>
      <c r="H104" s="203">
        <f t="shared" ref="H104:I104" si="43">H71</f>
        <v>0.12</v>
      </c>
      <c r="I104" s="203">
        <f t="shared" si="43"/>
        <v>0.08</v>
      </c>
      <c r="J104" s="150"/>
      <c r="K104" s="150"/>
    </row>
    <row r="105" spans="3:11" ht="15.75" customHeight="1">
      <c r="C105" s="155" t="s">
        <v>175</v>
      </c>
      <c r="D105" s="204">
        <f t="shared" ref="D105:I105" si="44">$C$6</f>
        <v>12</v>
      </c>
      <c r="E105" s="204">
        <f t="shared" si="44"/>
        <v>12</v>
      </c>
      <c r="F105" s="204">
        <f t="shared" si="44"/>
        <v>12</v>
      </c>
      <c r="G105" s="204">
        <f t="shared" si="44"/>
        <v>12</v>
      </c>
      <c r="H105" s="204">
        <f t="shared" si="44"/>
        <v>12</v>
      </c>
      <c r="I105" s="204">
        <f t="shared" si="44"/>
        <v>12</v>
      </c>
      <c r="J105" s="150"/>
      <c r="K105" s="150"/>
    </row>
    <row r="106" spans="3:11" ht="15.75" customHeight="1">
      <c r="C106" s="155" t="s">
        <v>176</v>
      </c>
      <c r="D106" s="205">
        <f t="shared" ref="D106:I106" si="45">D105*(1-D104)</f>
        <v>11.76</v>
      </c>
      <c r="E106" s="205">
        <f t="shared" si="45"/>
        <v>11.28</v>
      </c>
      <c r="F106" s="205">
        <f t="shared" si="45"/>
        <v>11.28</v>
      </c>
      <c r="G106" s="205">
        <f t="shared" si="45"/>
        <v>11.76</v>
      </c>
      <c r="H106" s="205">
        <f t="shared" si="45"/>
        <v>10.56</v>
      </c>
      <c r="I106" s="205">
        <f t="shared" si="45"/>
        <v>11.040000000000001</v>
      </c>
      <c r="J106" s="150"/>
      <c r="K106" s="150"/>
    </row>
    <row r="107" spans="3:11" ht="9" customHeight="1">
      <c r="C107" s="206"/>
      <c r="D107" s="207"/>
      <c r="E107" s="207"/>
      <c r="F107" s="207"/>
      <c r="G107" s="207"/>
      <c r="H107" s="207"/>
      <c r="I107" s="207"/>
      <c r="J107" s="150"/>
      <c r="K107" s="150"/>
    </row>
    <row r="108" spans="3:11" ht="15.75" customHeight="1">
      <c r="C108" s="155" t="s">
        <v>177</v>
      </c>
      <c r="D108" s="208">
        <f t="shared" ref="D108:I108" si="46">D36</f>
        <v>2.652777777777778E-4</v>
      </c>
      <c r="E108" s="208">
        <f t="shared" si="46"/>
        <v>1.0611111111111112E-3</v>
      </c>
      <c r="F108" s="208">
        <f t="shared" si="46"/>
        <v>2.9527777777777777E-3</v>
      </c>
      <c r="G108" s="208">
        <f t="shared" si="46"/>
        <v>1.9685185185185183E-3</v>
      </c>
      <c r="H108" s="208">
        <f t="shared" si="46"/>
        <v>3.5370370370370368E-4</v>
      </c>
      <c r="I108" s="208">
        <f t="shared" si="46"/>
        <v>2.861111111111111E-5</v>
      </c>
      <c r="J108" s="150"/>
      <c r="K108" s="150"/>
    </row>
    <row r="109" spans="3:11" ht="15.75" customHeight="1">
      <c r="C109" s="155" t="s">
        <v>178</v>
      </c>
      <c r="D109" s="197">
        <f t="shared" ref="D109:I109" si="47">D66</f>
        <v>0.16200000000000001</v>
      </c>
      <c r="E109" s="197">
        <f t="shared" si="47"/>
        <v>0.31240000000000001</v>
      </c>
      <c r="F109" s="197">
        <f t="shared" si="47"/>
        <v>0.29880000000000001</v>
      </c>
      <c r="G109" s="197">
        <f t="shared" si="47"/>
        <v>3.3840000000000002E-2</v>
      </c>
      <c r="H109" s="197">
        <f t="shared" si="47"/>
        <v>0.38200000000000001</v>
      </c>
      <c r="I109" s="197">
        <f t="shared" si="47"/>
        <v>0.19500000000000001</v>
      </c>
      <c r="J109" s="150"/>
      <c r="K109" s="150"/>
    </row>
    <row r="110" spans="3:11" ht="15.75" customHeight="1">
      <c r="C110" s="155" t="s">
        <v>179</v>
      </c>
      <c r="D110" s="209">
        <f t="shared" ref="D110:I110" si="48">D95</f>
        <v>1.19375E-5</v>
      </c>
      <c r="E110" s="209">
        <f t="shared" si="48"/>
        <v>1.5916666666666667E-4</v>
      </c>
      <c r="F110" s="209">
        <f t="shared" si="48"/>
        <v>2.6574999999999998E-4</v>
      </c>
      <c r="G110" s="209">
        <f t="shared" si="48"/>
        <v>1.1811111111111111E-4</v>
      </c>
      <c r="H110" s="209">
        <f t="shared" si="48"/>
        <v>1.5916666666666666E-5</v>
      </c>
      <c r="I110" s="209">
        <f t="shared" si="48"/>
        <v>1.2875E-6</v>
      </c>
      <c r="J110" s="150"/>
      <c r="K110" s="150"/>
    </row>
    <row r="111" spans="3:11" ht="31" customHeight="1">
      <c r="C111" s="229" t="s">
        <v>180</v>
      </c>
      <c r="D111" s="210">
        <f t="shared" ref="D111:I111" si="49">D109+D110+D108</f>
        <v>0.16227721527777778</v>
      </c>
      <c r="E111" s="210">
        <f t="shared" si="49"/>
        <v>0.31362027777777779</v>
      </c>
      <c r="F111" s="210">
        <f t="shared" si="49"/>
        <v>0.30201852777777782</v>
      </c>
      <c r="G111" s="210">
        <f t="shared" si="49"/>
        <v>3.5926629629629628E-2</v>
      </c>
      <c r="H111" s="210">
        <f t="shared" si="49"/>
        <v>0.38236962037037037</v>
      </c>
      <c r="I111" s="210">
        <f t="shared" si="49"/>
        <v>0.19502989861111111</v>
      </c>
      <c r="J111" s="152" t="s">
        <v>73</v>
      </c>
      <c r="K111" s="150"/>
    </row>
    <row r="112" spans="3:11" ht="18" customHeight="1">
      <c r="C112" s="221" t="s">
        <v>28</v>
      </c>
      <c r="D112" s="222"/>
      <c r="E112" s="222">
        <f t="shared" ref="E112:I112" si="50">1-$D111/E111</f>
        <v>0.48256784788398566</v>
      </c>
      <c r="F112" s="222">
        <f t="shared" si="50"/>
        <v>0.46269119159080296</v>
      </c>
      <c r="G112" s="222">
        <f t="shared" si="50"/>
        <v>-3.5169061765800462</v>
      </c>
      <c r="H112" s="222">
        <f t="shared" si="50"/>
        <v>0.57560118107554403</v>
      </c>
      <c r="I112" s="222">
        <f t="shared" si="50"/>
        <v>0.16793672953008121</v>
      </c>
      <c r="J112" s="211">
        <f>(E112+F112+H112+I112)/4</f>
        <v>0.42219923752010347</v>
      </c>
      <c r="K112" s="150"/>
    </row>
    <row r="113" spans="3:11" ht="15.75" customHeight="1">
      <c r="C113" s="212"/>
      <c r="D113" s="213"/>
      <c r="E113" s="213"/>
      <c r="F113" s="213"/>
      <c r="G113" s="213"/>
      <c r="H113" s="213"/>
      <c r="I113" s="213"/>
      <c r="J113" s="211"/>
      <c r="K113" s="150"/>
    </row>
    <row r="114" spans="3:11" ht="15.75" customHeight="1">
      <c r="C114" s="172" t="s">
        <v>181</v>
      </c>
      <c r="D114" s="210">
        <f t="shared" ref="D114:I114" si="51">D111/D106</f>
        <v>1.3799082931783824E-2</v>
      </c>
      <c r="E114" s="210">
        <f t="shared" si="51"/>
        <v>2.7803216115051224E-2</v>
      </c>
      <c r="F114" s="210">
        <f t="shared" si="51"/>
        <v>2.6774692178881013E-2</v>
      </c>
      <c r="G114" s="210">
        <f t="shared" si="51"/>
        <v>3.054985512723608E-3</v>
      </c>
      <c r="H114" s="210">
        <f t="shared" si="51"/>
        <v>3.6209244353254767E-2</v>
      </c>
      <c r="I114" s="210">
        <f t="shared" si="51"/>
        <v>1.7665751685789047E-2</v>
      </c>
      <c r="J114" s="211"/>
      <c r="K114" s="150"/>
    </row>
    <row r="115" spans="3:11" ht="19" customHeight="1">
      <c r="C115" s="221" t="s">
        <v>28</v>
      </c>
      <c r="D115" s="222"/>
      <c r="E115" s="222">
        <f t="shared" ref="E115:I115" si="52">1-$D114/E114</f>
        <v>0.50368752756219037</v>
      </c>
      <c r="F115" s="222">
        <f t="shared" si="52"/>
        <v>0.48462216336260699</v>
      </c>
      <c r="G115" s="222">
        <f t="shared" si="52"/>
        <v>-3.5169061765800462</v>
      </c>
      <c r="H115" s="222">
        <f t="shared" si="52"/>
        <v>0.61890718300661096</v>
      </c>
      <c r="I115" s="222">
        <f t="shared" si="52"/>
        <v>0.21887937874252517</v>
      </c>
      <c r="J115" s="211">
        <f>(E115+F115+H115+I115)/4</f>
        <v>0.45652406316848337</v>
      </c>
      <c r="K115" s="150"/>
    </row>
    <row r="116" spans="3:11" ht="15.75" customHeight="1">
      <c r="C116" s="150"/>
      <c r="D116" s="150"/>
      <c r="E116" s="150"/>
      <c r="F116" s="150"/>
      <c r="G116" s="150"/>
      <c r="H116" s="150"/>
      <c r="I116" s="150"/>
      <c r="J116" s="150"/>
      <c r="K116" s="150"/>
    </row>
    <row r="117" spans="3:11" ht="21" customHeight="1">
      <c r="C117" s="241" t="s">
        <v>182</v>
      </c>
      <c r="D117" s="242"/>
      <c r="E117" s="242"/>
      <c r="F117" s="242"/>
      <c r="G117" s="242"/>
      <c r="H117" s="242"/>
      <c r="I117" s="242"/>
      <c r="J117" s="150"/>
      <c r="K117" s="150"/>
    </row>
    <row r="118" spans="3:11" ht="15.75" customHeight="1">
      <c r="C118" s="232" t="s">
        <v>56</v>
      </c>
      <c r="D118" s="231" t="s">
        <v>5</v>
      </c>
      <c r="E118" s="231" t="s">
        <v>6</v>
      </c>
      <c r="F118" s="231" t="s">
        <v>7</v>
      </c>
      <c r="G118" s="231" t="s">
        <v>8</v>
      </c>
      <c r="H118" s="231" t="s">
        <v>9</v>
      </c>
      <c r="I118" s="231" t="s">
        <v>10</v>
      </c>
      <c r="J118" s="231"/>
      <c r="K118" s="231" t="s">
        <v>11</v>
      </c>
    </row>
    <row r="119" spans="3:11" ht="15.75" customHeight="1">
      <c r="C119" s="155" t="s">
        <v>183</v>
      </c>
      <c r="D119" s="214">
        <f t="shared" ref="D119:I119" si="53">D36</f>
        <v>2.652777777777778E-4</v>
      </c>
      <c r="E119" s="214">
        <f t="shared" si="53"/>
        <v>1.0611111111111112E-3</v>
      </c>
      <c r="F119" s="214">
        <f t="shared" si="53"/>
        <v>2.9527777777777777E-3</v>
      </c>
      <c r="G119" s="214">
        <f t="shared" si="53"/>
        <v>1.9685185185185183E-3</v>
      </c>
      <c r="H119" s="214">
        <f t="shared" si="53"/>
        <v>3.5370370370370368E-4</v>
      </c>
      <c r="I119" s="214">
        <f t="shared" si="53"/>
        <v>2.861111111111111E-5</v>
      </c>
      <c r="J119" s="150"/>
      <c r="K119" s="150"/>
    </row>
    <row r="120" spans="3:11" ht="15.75" customHeight="1">
      <c r="C120" s="155" t="s">
        <v>178</v>
      </c>
      <c r="D120" s="215">
        <f t="shared" ref="D120:I120" si="54">D66</f>
        <v>0.16200000000000001</v>
      </c>
      <c r="E120" s="215">
        <f t="shared" si="54"/>
        <v>0.31240000000000001</v>
      </c>
      <c r="F120" s="215">
        <f t="shared" si="54"/>
        <v>0.29880000000000001</v>
      </c>
      <c r="G120" s="215">
        <f t="shared" si="54"/>
        <v>3.3840000000000002E-2</v>
      </c>
      <c r="H120" s="215">
        <f t="shared" si="54"/>
        <v>0.38200000000000001</v>
      </c>
      <c r="I120" s="215">
        <f t="shared" si="54"/>
        <v>0.19500000000000001</v>
      </c>
      <c r="J120" s="150"/>
      <c r="K120" s="150"/>
    </row>
    <row r="121" spans="3:11" ht="15.75" customHeight="1">
      <c r="C121" s="155" t="s">
        <v>184</v>
      </c>
      <c r="D121" s="216">
        <f t="shared" ref="D121:I121" si="55">D95</f>
        <v>1.19375E-5</v>
      </c>
      <c r="E121" s="216">
        <f t="shared" si="55"/>
        <v>1.5916666666666667E-4</v>
      </c>
      <c r="F121" s="216">
        <f t="shared" si="55"/>
        <v>2.6574999999999998E-4</v>
      </c>
      <c r="G121" s="216">
        <f t="shared" si="55"/>
        <v>1.1811111111111111E-4</v>
      </c>
      <c r="H121" s="216">
        <f t="shared" si="55"/>
        <v>1.5916666666666666E-5</v>
      </c>
      <c r="I121" s="216">
        <f t="shared" si="55"/>
        <v>1.2875E-6</v>
      </c>
      <c r="J121" s="150"/>
      <c r="K121" s="150"/>
    </row>
    <row r="122" spans="3:11" ht="15.75" customHeight="1">
      <c r="C122" s="155" t="s">
        <v>185</v>
      </c>
      <c r="D122" s="215">
        <f t="shared" ref="D122:I122" si="56">D81</f>
        <v>3.8199999999999998E-2</v>
      </c>
      <c r="E122" s="215">
        <f t="shared" si="56"/>
        <v>0.11459999999999999</v>
      </c>
      <c r="F122" s="215">
        <f t="shared" si="56"/>
        <v>0.11459999999999999</v>
      </c>
      <c r="G122" s="215">
        <f t="shared" si="56"/>
        <v>0.30559999999999998</v>
      </c>
      <c r="H122" s="215">
        <f t="shared" si="56"/>
        <v>0.45839999999999997</v>
      </c>
      <c r="I122" s="215">
        <f t="shared" si="56"/>
        <v>0.30559999999999998</v>
      </c>
      <c r="J122" s="150"/>
      <c r="K122" s="150"/>
    </row>
    <row r="123" spans="3:11" ht="35" customHeight="1">
      <c r="C123" s="230" t="s">
        <v>186</v>
      </c>
      <c r="D123" s="217">
        <f t="shared" ref="D123:I123" si="57">SUM(D119:D122)</f>
        <v>0.20047721527777779</v>
      </c>
      <c r="E123" s="217">
        <f t="shared" si="57"/>
        <v>0.42822027777777777</v>
      </c>
      <c r="F123" s="217">
        <f t="shared" si="57"/>
        <v>0.4166185277777778</v>
      </c>
      <c r="G123" s="217">
        <f t="shared" si="57"/>
        <v>0.3415266296296296</v>
      </c>
      <c r="H123" s="217">
        <f t="shared" si="57"/>
        <v>0.84076962037037029</v>
      </c>
      <c r="I123" s="217">
        <f t="shared" si="57"/>
        <v>0.50062989861111107</v>
      </c>
      <c r="J123" s="152" t="s">
        <v>73</v>
      </c>
      <c r="K123" s="150"/>
    </row>
    <row r="124" spans="3:11" ht="19" customHeight="1">
      <c r="C124" s="221" t="s">
        <v>28</v>
      </c>
      <c r="D124" s="222"/>
      <c r="E124" s="222">
        <f t="shared" ref="E124:I124" si="58">1-$D123/E123</f>
        <v>0.53183624017493591</v>
      </c>
      <c r="F124" s="222">
        <f t="shared" si="58"/>
        <v>0.51879908858803492</v>
      </c>
      <c r="G124" s="222">
        <f t="shared" si="58"/>
        <v>0.41299682693795681</v>
      </c>
      <c r="H124" s="222">
        <f t="shared" si="58"/>
        <v>0.76155511519378538</v>
      </c>
      <c r="I124" s="222">
        <f t="shared" si="58"/>
        <v>0.59955005517257698</v>
      </c>
      <c r="J124" s="211">
        <f>(E124+F124+H124+I124)/4</f>
        <v>0.60293512478233335</v>
      </c>
      <c r="K124" s="150"/>
    </row>
    <row r="125" spans="3:11" ht="15.75" customHeight="1">
      <c r="C125" s="150"/>
      <c r="D125" s="150"/>
      <c r="E125" s="150"/>
      <c r="F125" s="150"/>
      <c r="G125" s="150"/>
      <c r="H125" s="150"/>
      <c r="I125" s="150"/>
      <c r="J125" s="150"/>
      <c r="K125" s="150"/>
    </row>
    <row r="126" spans="3:11" ht="15.75" customHeight="1">
      <c r="C126" s="176" t="s">
        <v>187</v>
      </c>
      <c r="D126" s="150"/>
      <c r="E126" s="150"/>
      <c r="F126" s="150"/>
      <c r="G126" s="150"/>
      <c r="H126" s="150"/>
      <c r="I126" s="150"/>
      <c r="J126" s="150"/>
      <c r="K126" s="150"/>
    </row>
    <row r="127" spans="3:11" ht="15.75" customHeight="1">
      <c r="C127" s="176" t="s">
        <v>188</v>
      </c>
      <c r="D127" s="150"/>
      <c r="E127" s="150"/>
      <c r="F127" s="150"/>
      <c r="G127" s="150"/>
      <c r="H127" s="150"/>
      <c r="I127" s="150"/>
      <c r="J127" s="150"/>
      <c r="K127" s="150"/>
    </row>
    <row r="128" spans="3:11" ht="15.75" customHeight="1">
      <c r="C128" s="150"/>
      <c r="D128" s="150"/>
      <c r="E128" s="150"/>
      <c r="F128" s="150"/>
      <c r="G128" s="150"/>
      <c r="H128" s="150"/>
      <c r="I128" s="150"/>
      <c r="J128" s="150"/>
      <c r="K128" s="150"/>
    </row>
    <row r="129" spans="3:11" ht="15.75" customHeight="1">
      <c r="C129" s="150"/>
      <c r="D129" s="150"/>
      <c r="E129" s="150"/>
      <c r="F129" s="150"/>
      <c r="G129" s="150"/>
      <c r="H129" s="150"/>
      <c r="I129" s="150"/>
      <c r="J129" s="150"/>
      <c r="K129" s="150"/>
    </row>
    <row r="130" spans="3:11" ht="15.75" customHeight="1">
      <c r="C130" s="150"/>
      <c r="D130" s="150"/>
      <c r="E130" s="150"/>
      <c r="F130" s="150"/>
      <c r="G130" s="150"/>
      <c r="H130" s="150"/>
      <c r="I130" s="150"/>
      <c r="J130" s="150"/>
      <c r="K130" s="150"/>
    </row>
    <row r="131" spans="3:11" ht="15.75" customHeight="1">
      <c r="C131" s="150"/>
      <c r="D131" s="150"/>
      <c r="E131" s="150"/>
      <c r="F131" s="150"/>
      <c r="G131" s="150"/>
      <c r="H131" s="150"/>
      <c r="I131" s="150"/>
      <c r="J131" s="150"/>
      <c r="K131" s="150"/>
    </row>
    <row r="132" spans="3:11" ht="15.75" customHeight="1">
      <c r="C132" s="150"/>
      <c r="D132" s="150"/>
      <c r="E132" s="150"/>
      <c r="F132" s="150"/>
      <c r="G132" s="150"/>
      <c r="H132" s="150"/>
      <c r="I132" s="150"/>
      <c r="J132" s="150"/>
      <c r="K132" s="150"/>
    </row>
    <row r="133" spans="3:11" ht="15.75" customHeight="1">
      <c r="C133" s="150"/>
      <c r="D133" s="150"/>
      <c r="E133" s="150"/>
      <c r="F133" s="150"/>
      <c r="G133" s="150"/>
      <c r="H133" s="150"/>
      <c r="I133" s="150"/>
      <c r="J133" s="150"/>
      <c r="K133" s="150"/>
    </row>
    <row r="134" spans="3:11" ht="15.75" customHeight="1">
      <c r="C134" s="150"/>
      <c r="D134" s="150"/>
      <c r="E134" s="150"/>
      <c r="F134" s="150"/>
      <c r="G134" s="150"/>
      <c r="H134" s="150"/>
      <c r="I134" s="150"/>
      <c r="J134" s="150"/>
      <c r="K134" s="150"/>
    </row>
    <row r="135" spans="3:11" ht="15.75" customHeight="1">
      <c r="C135" s="150"/>
      <c r="D135" s="150"/>
      <c r="E135" s="150"/>
      <c r="F135" s="150"/>
      <c r="G135" s="150"/>
      <c r="H135" s="150"/>
      <c r="I135" s="150"/>
      <c r="J135" s="150"/>
      <c r="K135" s="150"/>
    </row>
    <row r="136" spans="3:11" ht="15.75" customHeight="1">
      <c r="C136" s="150"/>
      <c r="D136" s="150"/>
      <c r="E136" s="150"/>
      <c r="F136" s="150"/>
      <c r="G136" s="150"/>
      <c r="H136" s="150"/>
      <c r="I136" s="150"/>
      <c r="J136" s="150"/>
      <c r="K136" s="150"/>
    </row>
    <row r="137" spans="3:11" ht="15.75" customHeight="1">
      <c r="C137" s="150"/>
      <c r="D137" s="150"/>
      <c r="E137" s="150"/>
      <c r="F137" s="150"/>
      <c r="G137" s="150"/>
      <c r="H137" s="150"/>
      <c r="I137" s="150"/>
      <c r="J137" s="150"/>
      <c r="K137" s="150"/>
    </row>
    <row r="138" spans="3:11" ht="15.75" customHeight="1">
      <c r="C138" s="150"/>
      <c r="D138" s="150"/>
      <c r="E138" s="150"/>
      <c r="F138" s="150"/>
      <c r="G138" s="150"/>
      <c r="H138" s="150"/>
      <c r="I138" s="150"/>
      <c r="J138" s="150"/>
      <c r="K138" s="150"/>
    </row>
    <row r="139" spans="3:11" ht="15.75" customHeight="1">
      <c r="C139" s="150"/>
      <c r="D139" s="150"/>
      <c r="E139" s="150"/>
      <c r="F139" s="150"/>
      <c r="G139" s="150"/>
      <c r="H139" s="150"/>
      <c r="I139" s="150"/>
      <c r="J139" s="150"/>
      <c r="K139" s="150"/>
    </row>
    <row r="140" spans="3:11" ht="15.75" customHeight="1">
      <c r="C140" s="150"/>
      <c r="D140" s="150"/>
      <c r="E140" s="150"/>
      <c r="F140" s="150"/>
      <c r="G140" s="150"/>
      <c r="H140" s="150"/>
      <c r="I140" s="150"/>
      <c r="J140" s="150"/>
      <c r="K140" s="150"/>
    </row>
    <row r="141" spans="3:11" ht="15.75" customHeight="1">
      <c r="C141" s="150"/>
      <c r="D141" s="150"/>
      <c r="E141" s="150"/>
      <c r="F141" s="150"/>
      <c r="G141" s="150"/>
      <c r="H141" s="150"/>
      <c r="I141" s="150"/>
      <c r="J141" s="150"/>
      <c r="K141" s="150"/>
    </row>
    <row r="142" spans="3:11" ht="15.75" customHeight="1">
      <c r="C142" s="150"/>
      <c r="D142" s="150"/>
      <c r="E142" s="150"/>
      <c r="F142" s="150"/>
      <c r="G142" s="150"/>
      <c r="H142" s="150"/>
      <c r="I142" s="150"/>
      <c r="J142" s="150"/>
      <c r="K142" s="150"/>
    </row>
    <row r="143" spans="3:11" ht="15.75" customHeight="1">
      <c r="C143" s="150"/>
      <c r="D143" s="150"/>
      <c r="E143" s="150"/>
      <c r="F143" s="150"/>
      <c r="G143" s="150"/>
      <c r="H143" s="150"/>
      <c r="I143" s="150"/>
      <c r="J143" s="150"/>
      <c r="K143" s="150"/>
    </row>
    <row r="144" spans="3:11" ht="15.75" customHeight="1">
      <c r="C144" s="150"/>
      <c r="D144" s="150"/>
      <c r="E144" s="150"/>
      <c r="F144" s="150"/>
      <c r="G144" s="150"/>
      <c r="H144" s="150"/>
      <c r="I144" s="150"/>
      <c r="J144" s="150"/>
      <c r="K144" s="150"/>
    </row>
    <row r="145" spans="3:11" ht="15.75" customHeight="1">
      <c r="C145" s="150"/>
      <c r="D145" s="150"/>
      <c r="E145" s="150"/>
      <c r="F145" s="150"/>
      <c r="G145" s="150"/>
      <c r="H145" s="150"/>
      <c r="I145" s="150"/>
      <c r="J145" s="150"/>
      <c r="K145" s="150"/>
    </row>
    <row r="146" spans="3:11" ht="15.75" customHeight="1">
      <c r="C146" s="150"/>
      <c r="D146" s="150"/>
      <c r="E146" s="150"/>
      <c r="F146" s="150"/>
      <c r="G146" s="150"/>
      <c r="H146" s="150"/>
      <c r="I146" s="150"/>
      <c r="J146" s="150"/>
      <c r="K146" s="150"/>
    </row>
    <row r="147" spans="3:11" ht="15.75" customHeight="1">
      <c r="C147" s="150"/>
      <c r="D147" s="150"/>
      <c r="E147" s="150"/>
      <c r="F147" s="150"/>
      <c r="G147" s="150"/>
      <c r="H147" s="150"/>
      <c r="I147" s="150"/>
      <c r="J147" s="150"/>
      <c r="K147" s="150"/>
    </row>
    <row r="148" spans="3:11" ht="15.75" customHeight="1">
      <c r="C148" s="150"/>
      <c r="D148" s="150"/>
      <c r="E148" s="150"/>
      <c r="F148" s="150"/>
      <c r="G148" s="150"/>
      <c r="H148" s="150"/>
      <c r="I148" s="150"/>
      <c r="J148" s="150"/>
      <c r="K148" s="150"/>
    </row>
    <row r="149" spans="3:11" ht="15.75" customHeight="1">
      <c r="C149" s="152" t="s">
        <v>189</v>
      </c>
      <c r="D149" s="152" t="s">
        <v>190</v>
      </c>
      <c r="E149" s="150"/>
      <c r="F149" s="152" t="s">
        <v>191</v>
      </c>
      <c r="G149" s="150"/>
      <c r="H149" s="150"/>
      <c r="I149" s="150"/>
      <c r="J149" s="150"/>
      <c r="K149" s="150"/>
    </row>
    <row r="150" spans="3:11" ht="15.75" customHeight="1">
      <c r="C150" s="150"/>
      <c r="D150" s="150"/>
      <c r="E150" s="150"/>
      <c r="F150" s="150"/>
      <c r="G150" s="150"/>
      <c r="H150" s="150"/>
      <c r="I150" s="150"/>
      <c r="J150" s="150"/>
      <c r="K150" s="150"/>
    </row>
    <row r="151" spans="3:11" ht="15" customHeight="1">
      <c r="C151" s="152" t="s">
        <v>192</v>
      </c>
      <c r="D151" s="154" t="s">
        <v>5</v>
      </c>
      <c r="E151" s="154" t="s">
        <v>17</v>
      </c>
      <c r="F151" s="154" t="s">
        <v>193</v>
      </c>
      <c r="G151" s="154" t="s">
        <v>10</v>
      </c>
      <c r="H151" s="150"/>
      <c r="I151" s="150"/>
      <c r="J151" s="150"/>
      <c r="K151" s="150"/>
    </row>
    <row r="152" spans="3:11" ht="15" customHeight="1">
      <c r="C152" s="174" t="s">
        <v>177</v>
      </c>
      <c r="D152" s="214">
        <f t="shared" ref="D152:E152" si="59">D119</f>
        <v>2.652777777777778E-4</v>
      </c>
      <c r="E152" s="214">
        <f t="shared" si="59"/>
        <v>1.0611111111111112E-3</v>
      </c>
      <c r="F152" s="214">
        <f t="shared" ref="F152:G152" si="60">H119</f>
        <v>3.5370370370370368E-4</v>
      </c>
      <c r="G152" s="214">
        <f t="shared" si="60"/>
        <v>2.861111111111111E-5</v>
      </c>
      <c r="H152" s="150"/>
      <c r="I152" s="150"/>
      <c r="J152" s="150"/>
      <c r="K152" s="150"/>
    </row>
    <row r="153" spans="3:11" ht="15.75" customHeight="1">
      <c r="C153" s="174" t="s">
        <v>194</v>
      </c>
      <c r="D153" s="215">
        <f t="shared" ref="D153:E153" si="61">D120</f>
        <v>0.16200000000000001</v>
      </c>
      <c r="E153" s="215">
        <f t="shared" si="61"/>
        <v>0.31240000000000001</v>
      </c>
      <c r="F153" s="215">
        <f t="shared" ref="F153:G153" si="62">H120</f>
        <v>0.38200000000000001</v>
      </c>
      <c r="G153" s="215">
        <f t="shared" si="62"/>
        <v>0.19500000000000001</v>
      </c>
      <c r="H153" s="150"/>
      <c r="I153" s="150"/>
      <c r="J153" s="150"/>
      <c r="K153" s="150"/>
    </row>
    <row r="154" spans="3:11" ht="15.75" customHeight="1">
      <c r="C154" s="174" t="s">
        <v>195</v>
      </c>
      <c r="D154" s="216">
        <f t="shared" ref="D154:E154" si="63">D121</f>
        <v>1.19375E-5</v>
      </c>
      <c r="E154" s="216">
        <f t="shared" si="63"/>
        <v>1.5916666666666667E-4</v>
      </c>
      <c r="F154" s="216">
        <f t="shared" ref="F154:G154" si="64">H121</f>
        <v>1.5916666666666666E-5</v>
      </c>
      <c r="G154" s="216">
        <f t="shared" si="64"/>
        <v>1.2875E-6</v>
      </c>
      <c r="H154" s="150"/>
      <c r="I154" s="150"/>
      <c r="J154" s="150"/>
      <c r="K154" s="150"/>
    </row>
    <row r="155" spans="3:11" ht="15.75" customHeight="1">
      <c r="C155" s="174" t="s">
        <v>196</v>
      </c>
      <c r="D155" s="215">
        <f t="shared" ref="D155:E155" si="65">D122</f>
        <v>3.8199999999999998E-2</v>
      </c>
      <c r="E155" s="215">
        <f t="shared" si="65"/>
        <v>0.11459999999999999</v>
      </c>
      <c r="F155" s="215">
        <f t="shared" ref="F155:G155" si="66">H122</f>
        <v>0.45839999999999997</v>
      </c>
      <c r="G155" s="215">
        <f t="shared" si="66"/>
        <v>0.30559999999999998</v>
      </c>
      <c r="H155" s="150"/>
      <c r="I155" s="150"/>
      <c r="J155" s="150"/>
      <c r="K155" s="150"/>
    </row>
    <row r="156" spans="3:11" ht="15.75" customHeight="1">
      <c r="C156" s="174"/>
      <c r="D156" s="150"/>
      <c r="E156" s="150"/>
      <c r="F156" s="150"/>
      <c r="G156" s="150"/>
      <c r="H156" s="150"/>
      <c r="I156" s="150"/>
      <c r="J156" s="150"/>
      <c r="K156" s="150"/>
    </row>
    <row r="157" spans="3:11" ht="15.75" customHeight="1">
      <c r="C157" s="152" t="s">
        <v>197</v>
      </c>
      <c r="D157" s="218" t="s">
        <v>5</v>
      </c>
      <c r="E157" s="218" t="s">
        <v>17</v>
      </c>
      <c r="F157" s="218" t="s">
        <v>193</v>
      </c>
      <c r="G157" s="218" t="s">
        <v>10</v>
      </c>
      <c r="H157" s="150"/>
      <c r="I157" s="150"/>
      <c r="J157" s="150"/>
      <c r="K157" s="150"/>
    </row>
    <row r="158" spans="3:11" ht="15.75" customHeight="1">
      <c r="C158" s="219" t="s">
        <v>177</v>
      </c>
      <c r="D158" s="150">
        <v>2.6527777777777778E-3</v>
      </c>
      <c r="E158" s="150">
        <v>1.0611111111111111E-2</v>
      </c>
      <c r="F158" s="150">
        <v>3.5370370370370369E-3</v>
      </c>
      <c r="G158" s="150">
        <v>2.8611111111111111E-4</v>
      </c>
      <c r="H158" s="150"/>
      <c r="I158" s="150"/>
      <c r="J158" s="150"/>
      <c r="K158" s="150"/>
    </row>
    <row r="159" spans="3:11" ht="15.75" customHeight="1">
      <c r="C159" s="219" t="s">
        <v>194</v>
      </c>
      <c r="D159" s="150">
        <v>0.18</v>
      </c>
      <c r="E159" s="150">
        <v>0.31240000000000001</v>
      </c>
      <c r="F159" s="150">
        <v>0.38200000000000001</v>
      </c>
      <c r="G159" s="150">
        <v>0.19500000000000001</v>
      </c>
      <c r="H159" s="150"/>
      <c r="I159" s="150"/>
      <c r="J159" s="150"/>
      <c r="K159" s="150"/>
    </row>
    <row r="160" spans="3:11" ht="15.75" customHeight="1">
      <c r="C160" s="219" t="s">
        <v>195</v>
      </c>
      <c r="D160" s="150">
        <v>1.19375E-4</v>
      </c>
      <c r="E160" s="150">
        <v>1.5916666666666666E-3</v>
      </c>
      <c r="F160" s="150">
        <v>1.5916666666666667E-4</v>
      </c>
      <c r="G160" s="150">
        <v>1.2875E-5</v>
      </c>
      <c r="H160" s="150"/>
      <c r="I160" s="150"/>
      <c r="J160" s="150"/>
      <c r="K160" s="150"/>
    </row>
    <row r="161" spans="3:11" ht="15.75" customHeight="1">
      <c r="C161" s="219" t="s">
        <v>196</v>
      </c>
      <c r="D161" s="150">
        <v>3.8199999999999998E-2</v>
      </c>
      <c r="E161" s="150">
        <v>0.11459999999999999</v>
      </c>
      <c r="F161" s="150">
        <v>0.45839999999999997</v>
      </c>
      <c r="G161" s="150">
        <v>0.30559999999999998</v>
      </c>
      <c r="H161" s="150"/>
      <c r="I161" s="150"/>
      <c r="J161" s="150"/>
      <c r="K161" s="150"/>
    </row>
    <row r="162" spans="3:11" ht="15.75" customHeight="1">
      <c r="C162" s="150"/>
      <c r="D162" s="150"/>
      <c r="E162" s="150"/>
      <c r="F162" s="150"/>
      <c r="G162" s="150"/>
      <c r="H162" s="150"/>
      <c r="I162" s="150"/>
      <c r="J162" s="150"/>
      <c r="K162" s="150"/>
    </row>
    <row r="163" spans="3:11" ht="15.75" customHeight="1">
      <c r="C163" s="152" t="s">
        <v>198</v>
      </c>
      <c r="D163" s="150"/>
      <c r="E163" s="150"/>
      <c r="F163" s="150"/>
      <c r="G163" s="150"/>
      <c r="H163" s="150"/>
      <c r="I163" s="150"/>
      <c r="J163" s="150"/>
      <c r="K163" s="150"/>
    </row>
    <row r="164" spans="3:11" ht="15.75" customHeight="1">
      <c r="C164" s="150"/>
      <c r="D164" s="220" t="s">
        <v>177</v>
      </c>
      <c r="E164" s="220" t="s">
        <v>194</v>
      </c>
      <c r="F164" s="220" t="s">
        <v>195</v>
      </c>
      <c r="G164" s="220" t="s">
        <v>199</v>
      </c>
      <c r="H164" s="150"/>
      <c r="I164" s="150"/>
      <c r="J164" s="220" t="s">
        <v>194</v>
      </c>
      <c r="K164" s="220" t="s">
        <v>196</v>
      </c>
    </row>
    <row r="165" spans="3:11" ht="15.75" customHeight="1">
      <c r="C165" s="218" t="s">
        <v>5</v>
      </c>
      <c r="D165" s="150">
        <v>2.6527777777777778E-3</v>
      </c>
      <c r="E165" s="150">
        <v>0.18</v>
      </c>
      <c r="F165" s="150">
        <v>1.19375E-4</v>
      </c>
      <c r="G165" s="150">
        <v>3.8199999999999998E-2</v>
      </c>
      <c r="H165" s="150"/>
      <c r="I165" s="218" t="s">
        <v>5</v>
      </c>
      <c r="J165" s="150">
        <v>0.18</v>
      </c>
      <c r="K165" s="150">
        <v>3.8199999999999998E-2</v>
      </c>
    </row>
    <row r="166" spans="3:11" ht="15.75" customHeight="1">
      <c r="C166" s="218" t="s">
        <v>17</v>
      </c>
      <c r="D166" s="150">
        <v>1.0611111111111111E-2</v>
      </c>
      <c r="E166" s="150">
        <v>0.31240000000000001</v>
      </c>
      <c r="F166" s="150">
        <v>1.5916666666666666E-3</v>
      </c>
      <c r="G166" s="150">
        <v>0.11459999999999999</v>
      </c>
      <c r="H166" s="150"/>
      <c r="I166" s="218" t="s">
        <v>17</v>
      </c>
      <c r="J166" s="150">
        <v>0.31240000000000001</v>
      </c>
      <c r="K166" s="150">
        <v>0.11459999999999999</v>
      </c>
    </row>
    <row r="167" spans="3:11" ht="15.75" customHeight="1">
      <c r="C167" s="218" t="s">
        <v>193</v>
      </c>
      <c r="D167" s="150">
        <v>3.5370370370370369E-3</v>
      </c>
      <c r="E167" s="150">
        <v>0.38200000000000001</v>
      </c>
      <c r="F167" s="150">
        <v>1.5916666666666667E-4</v>
      </c>
      <c r="G167" s="150">
        <v>0.45839999999999997</v>
      </c>
      <c r="H167" s="150"/>
      <c r="I167" s="218" t="s">
        <v>193</v>
      </c>
      <c r="J167" s="150">
        <v>0.38200000000000001</v>
      </c>
      <c r="K167" s="150">
        <v>0.45839999999999997</v>
      </c>
    </row>
    <row r="168" spans="3:11" ht="15.75" customHeight="1">
      <c r="C168" s="218" t="s">
        <v>10</v>
      </c>
      <c r="D168" s="150">
        <v>2.8611111111111111E-4</v>
      </c>
      <c r="E168" s="150">
        <v>0.19500000000000001</v>
      </c>
      <c r="F168" s="150">
        <v>1.2875E-5</v>
      </c>
      <c r="G168" s="150">
        <v>0.30559999999999998</v>
      </c>
      <c r="H168" s="150"/>
      <c r="I168" s="218" t="s">
        <v>10</v>
      </c>
      <c r="J168" s="150">
        <v>0.19500000000000001</v>
      </c>
      <c r="K168" s="150">
        <v>0.30559999999999998</v>
      </c>
    </row>
    <row r="169" spans="3:11" ht="15.75" customHeight="1"/>
    <row r="170" spans="3:11" ht="15.75" customHeight="1"/>
    <row r="171" spans="3:11" ht="15.75" customHeight="1"/>
    <row r="172" spans="3:11" ht="15.75" customHeight="1"/>
    <row r="173" spans="3:11" ht="15.75" customHeight="1"/>
    <row r="174" spans="3:11" ht="15.75" customHeight="1"/>
    <row r="175" spans="3:11" ht="15.75" customHeight="1"/>
    <row r="176" spans="3:11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</sheetData>
  <mergeCells count="1">
    <mergeCell ref="C117:I117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3:M92"/>
  <sheetViews>
    <sheetView workbookViewId="0"/>
  </sheetViews>
  <sheetFormatPr baseColWidth="10" defaultColWidth="11.1640625" defaultRowHeight="15" customHeight="1"/>
  <cols>
    <col min="2" max="2" width="22.5" customWidth="1"/>
    <col min="10" max="10" width="16.6640625" customWidth="1"/>
  </cols>
  <sheetData>
    <row r="3" spans="2:11">
      <c r="B3" s="3" t="s">
        <v>1</v>
      </c>
      <c r="C3" s="5"/>
      <c r="D3" s="5"/>
      <c r="E3" s="5"/>
      <c r="F3" s="5"/>
      <c r="G3" s="5"/>
      <c r="H3" s="5"/>
    </row>
    <row r="5" spans="2:11">
      <c r="B5" s="7" t="s">
        <v>3</v>
      </c>
      <c r="C5" s="9"/>
      <c r="D5" s="9"/>
      <c r="E5" s="9"/>
      <c r="F5" s="9"/>
      <c r="G5" s="9"/>
      <c r="H5" s="11"/>
    </row>
    <row r="6" spans="2:11">
      <c r="B6" s="13"/>
      <c r="C6" s="15"/>
      <c r="D6" s="17"/>
      <c r="E6" s="15"/>
      <c r="F6" s="19"/>
      <c r="G6" s="21"/>
      <c r="H6" s="23"/>
    </row>
    <row r="7" spans="2:11">
      <c r="B7" s="13"/>
      <c r="C7" s="17" t="s">
        <v>13</v>
      </c>
      <c r="D7" s="28">
        <f>'TCO Model'!E6</f>
        <v>3</v>
      </c>
      <c r="E7" s="15"/>
      <c r="F7" s="17" t="s">
        <v>16</v>
      </c>
      <c r="G7" s="15"/>
      <c r="H7" s="31">
        <f>'TCO Model'!C12</f>
        <v>750000</v>
      </c>
    </row>
    <row r="8" spans="2:11">
      <c r="B8" s="13"/>
      <c r="C8" s="17" t="s">
        <v>20</v>
      </c>
      <c r="D8" s="28">
        <f>'TCO Model'!C6</f>
        <v>12</v>
      </c>
      <c r="E8" s="15"/>
      <c r="F8" s="17" t="s">
        <v>21</v>
      </c>
      <c r="G8" s="15"/>
      <c r="H8" s="28">
        <f>'TCO Model'!C14</f>
        <v>500</v>
      </c>
    </row>
    <row r="9" spans="2:11">
      <c r="B9" s="13"/>
      <c r="C9" s="34"/>
      <c r="D9" s="34"/>
      <c r="E9" s="34"/>
      <c r="F9" s="36"/>
      <c r="G9" s="36"/>
      <c r="H9" s="38"/>
    </row>
    <row r="10" spans="2:11">
      <c r="B10" s="13"/>
      <c r="C10" s="20" t="s">
        <v>5</v>
      </c>
      <c r="D10" s="20" t="s">
        <v>6</v>
      </c>
      <c r="E10" s="20" t="s">
        <v>7</v>
      </c>
      <c r="F10" s="40" t="s">
        <v>8</v>
      </c>
      <c r="G10" s="40" t="s">
        <v>9</v>
      </c>
      <c r="H10" s="42" t="s">
        <v>10</v>
      </c>
    </row>
    <row r="11" spans="2:11">
      <c r="B11" s="44" t="s">
        <v>25</v>
      </c>
      <c r="C11" s="46">
        <f>'TCO Model'!D123</f>
        <v>0.20047721527777779</v>
      </c>
      <c r="D11" s="46">
        <f>'TCO Model'!E123</f>
        <v>0.42822027777777777</v>
      </c>
      <c r="E11" s="46">
        <f>'TCO Model'!F123</f>
        <v>0.4166185277777778</v>
      </c>
      <c r="F11" s="46">
        <f>'TCO Model'!G123</f>
        <v>0.3415266296296296</v>
      </c>
      <c r="G11" s="46">
        <f>'TCO Model'!H123</f>
        <v>0.84076962037037029</v>
      </c>
      <c r="H11" s="50">
        <f>'TCO Model'!I123</f>
        <v>0.50062989861111107</v>
      </c>
    </row>
    <row r="12" spans="2:11">
      <c r="B12" s="52" t="s">
        <v>28</v>
      </c>
      <c r="C12" s="53">
        <f>'TCO Model'!D124</f>
        <v>0</v>
      </c>
      <c r="D12" s="53">
        <f>'TCO Model'!E124</f>
        <v>0.53183624017493591</v>
      </c>
      <c r="E12" s="53">
        <f>'TCO Model'!F124</f>
        <v>0.51879908858803492</v>
      </c>
      <c r="F12" s="53">
        <f>'TCO Model'!G124</f>
        <v>0.41299682693795681</v>
      </c>
      <c r="G12" s="53">
        <f>'TCO Model'!H124</f>
        <v>0.76155511519378538</v>
      </c>
      <c r="H12" s="53">
        <f>'TCO Model'!I124</f>
        <v>0.59955005517257698</v>
      </c>
      <c r="J12" s="55"/>
    </row>
    <row r="14" spans="2:11">
      <c r="B14" s="57" t="s">
        <v>29</v>
      </c>
      <c r="C14" s="8"/>
      <c r="D14" s="8"/>
      <c r="E14" s="8"/>
      <c r="F14" s="8"/>
      <c r="G14" s="8"/>
      <c r="H14" s="8"/>
    </row>
    <row r="16" spans="2:11">
      <c r="K16" s="60" t="s">
        <v>30</v>
      </c>
    </row>
    <row r="17" spans="2:13">
      <c r="B17" s="62" t="s">
        <v>31</v>
      </c>
      <c r="C17" s="63"/>
      <c r="D17" s="63"/>
      <c r="E17" s="63"/>
      <c r="F17" s="63"/>
      <c r="G17" s="63"/>
      <c r="H17" s="64"/>
    </row>
    <row r="18" spans="2:13">
      <c r="B18" s="13"/>
      <c r="C18" s="66" t="s">
        <v>13</v>
      </c>
      <c r="D18" s="66">
        <v>3</v>
      </c>
      <c r="F18" s="66" t="s">
        <v>16</v>
      </c>
      <c r="H18" s="68">
        <v>75000</v>
      </c>
      <c r="J18" s="70"/>
      <c r="K18" s="72" t="s">
        <v>35</v>
      </c>
      <c r="L18" s="72" t="s">
        <v>36</v>
      </c>
      <c r="M18" s="73" t="s">
        <v>37</v>
      </c>
    </row>
    <row r="19" spans="2:13">
      <c r="B19" s="13"/>
      <c r="C19" s="66" t="s">
        <v>20</v>
      </c>
      <c r="D19" s="66">
        <v>12</v>
      </c>
      <c r="F19" s="66" t="s">
        <v>21</v>
      </c>
      <c r="H19" s="68">
        <v>500</v>
      </c>
      <c r="J19" s="75" t="s">
        <v>21</v>
      </c>
      <c r="K19" s="76">
        <v>50</v>
      </c>
      <c r="L19" s="76">
        <v>500</v>
      </c>
      <c r="M19" s="81">
        <v>10000</v>
      </c>
    </row>
    <row r="20" spans="2:13">
      <c r="B20" s="13"/>
      <c r="F20" s="66"/>
      <c r="G20" s="66"/>
      <c r="H20" s="82"/>
      <c r="J20" s="75" t="s">
        <v>49</v>
      </c>
      <c r="K20" s="76">
        <v>750</v>
      </c>
      <c r="L20" s="76">
        <v>75000</v>
      </c>
      <c r="M20" s="81">
        <v>750000</v>
      </c>
    </row>
    <row r="21" spans="2:13">
      <c r="B21" s="13"/>
      <c r="C21" s="20" t="s">
        <v>5</v>
      </c>
      <c r="D21" s="20" t="s">
        <v>6</v>
      </c>
      <c r="E21" s="20" t="s">
        <v>7</v>
      </c>
      <c r="F21" s="40" t="s">
        <v>8</v>
      </c>
      <c r="G21" s="40" t="s">
        <v>9</v>
      </c>
      <c r="H21" s="42" t="s">
        <v>10</v>
      </c>
      <c r="J21" s="84" t="s">
        <v>50</v>
      </c>
      <c r="K21" s="89">
        <v>0.44</v>
      </c>
      <c r="L21" s="89">
        <v>0.44</v>
      </c>
      <c r="M21" s="90">
        <v>0.45</v>
      </c>
    </row>
    <row r="22" spans="2:13">
      <c r="B22" s="91" t="s">
        <v>25</v>
      </c>
      <c r="C22" s="46">
        <v>0.22097215277777776</v>
      </c>
      <c r="D22" s="46">
        <v>0.43920277777777778</v>
      </c>
      <c r="E22" s="46">
        <v>0.43485685185185186</v>
      </c>
      <c r="F22" s="46">
        <v>0.2075062962962963</v>
      </c>
      <c r="G22" s="46">
        <v>0.84409620370370364</v>
      </c>
      <c r="H22" s="50">
        <v>0.50089898611111106</v>
      </c>
      <c r="J22" s="84" t="s">
        <v>10</v>
      </c>
      <c r="K22" s="89">
        <v>0.5</v>
      </c>
      <c r="L22" s="89">
        <v>0.5</v>
      </c>
      <c r="M22" s="90">
        <v>0.5</v>
      </c>
    </row>
    <row r="23" spans="2:13">
      <c r="B23" s="52" t="s">
        <v>28</v>
      </c>
      <c r="C23" s="93">
        <f>'TCO Model'!D155</f>
        <v>3.8199999999999998E-2</v>
      </c>
      <c r="D23" s="53">
        <v>0.49687897263349634</v>
      </c>
      <c r="E23" s="53">
        <v>0.49185081978871725</v>
      </c>
      <c r="F23" s="53">
        <v>-6.4893724777650652E-2</v>
      </c>
      <c r="G23" s="53">
        <v>0.73821449284074281</v>
      </c>
      <c r="H23" s="53">
        <v>0.55884887191853694</v>
      </c>
      <c r="J23" s="95" t="s">
        <v>5</v>
      </c>
      <c r="K23" s="100">
        <v>0.22</v>
      </c>
      <c r="L23" s="100">
        <v>0.22</v>
      </c>
      <c r="M23" s="102">
        <v>0.22</v>
      </c>
    </row>
    <row r="24" spans="2:13">
      <c r="J24" s="104" t="s">
        <v>73</v>
      </c>
      <c r="K24" s="106">
        <f t="shared" ref="K24:M24" si="0">1-K23/(AVERAGE(K22))</f>
        <v>0.56000000000000005</v>
      </c>
      <c r="L24" s="106">
        <f t="shared" si="0"/>
        <v>0.56000000000000005</v>
      </c>
      <c r="M24" s="107">
        <f t="shared" si="0"/>
        <v>0.56000000000000005</v>
      </c>
    </row>
    <row r="26" spans="2:13">
      <c r="B26" s="62" t="s">
        <v>80</v>
      </c>
      <c r="C26" s="63"/>
      <c r="D26" s="63"/>
      <c r="E26" s="63"/>
      <c r="F26" s="63"/>
      <c r="G26" s="63"/>
      <c r="H26" s="64"/>
    </row>
    <row r="27" spans="2:13">
      <c r="B27" s="13"/>
      <c r="C27" s="66" t="s">
        <v>13</v>
      </c>
      <c r="D27" s="66">
        <v>3</v>
      </c>
      <c r="F27" s="66" t="s">
        <v>16</v>
      </c>
      <c r="H27" s="108">
        <v>750000</v>
      </c>
      <c r="J27" s="110"/>
      <c r="K27" s="110"/>
      <c r="L27" s="111"/>
      <c r="M27" s="110"/>
    </row>
    <row r="28" spans="2:13">
      <c r="B28" s="13"/>
      <c r="C28" s="66" t="s">
        <v>20</v>
      </c>
      <c r="D28" s="66">
        <v>12</v>
      </c>
      <c r="F28" s="66" t="s">
        <v>21</v>
      </c>
      <c r="H28" s="68">
        <v>500</v>
      </c>
      <c r="J28" s="112"/>
      <c r="K28" s="112" t="s">
        <v>31</v>
      </c>
      <c r="L28" s="112" t="s">
        <v>86</v>
      </c>
      <c r="M28" s="112" t="s">
        <v>87</v>
      </c>
    </row>
    <row r="29" spans="2:13">
      <c r="B29" s="13"/>
      <c r="F29" s="66"/>
      <c r="G29" s="66"/>
      <c r="H29" s="82"/>
      <c r="J29" s="75" t="s">
        <v>88</v>
      </c>
      <c r="K29" s="113">
        <v>500</v>
      </c>
      <c r="L29" s="113">
        <v>1000</v>
      </c>
      <c r="M29" s="114">
        <v>500</v>
      </c>
    </row>
    <row r="30" spans="2:13">
      <c r="B30" s="13"/>
      <c r="C30" s="20" t="s">
        <v>5</v>
      </c>
      <c r="D30" s="20" t="s">
        <v>6</v>
      </c>
      <c r="E30" s="20" t="s">
        <v>7</v>
      </c>
      <c r="F30" s="40" t="s">
        <v>8</v>
      </c>
      <c r="G30" s="40" t="s">
        <v>9</v>
      </c>
      <c r="H30" s="42" t="s">
        <v>10</v>
      </c>
      <c r="J30" s="75" t="s">
        <v>48</v>
      </c>
      <c r="K30" s="76">
        <v>75000</v>
      </c>
      <c r="L30" s="76">
        <v>75000</v>
      </c>
      <c r="M30" s="81">
        <v>750000</v>
      </c>
    </row>
    <row r="31" spans="2:13">
      <c r="B31" s="115" t="s">
        <v>25</v>
      </c>
      <c r="C31" s="116">
        <v>0.21847721527777775</v>
      </c>
      <c r="D31" s="116">
        <v>0.42822027777777777</v>
      </c>
      <c r="E31" s="116">
        <v>0.4155456851851852</v>
      </c>
      <c r="F31" s="116">
        <v>0.18872662962962961</v>
      </c>
      <c r="G31" s="116">
        <v>0.84076962037037029</v>
      </c>
      <c r="H31" s="118">
        <v>0.50062989861111107</v>
      </c>
      <c r="J31" s="84" t="s">
        <v>50</v>
      </c>
      <c r="K31" s="89">
        <v>0.44</v>
      </c>
      <c r="L31" s="89">
        <v>0.48</v>
      </c>
      <c r="M31" s="90">
        <v>0.43</v>
      </c>
    </row>
    <row r="32" spans="2:13">
      <c r="B32" s="119" t="s">
        <v>28</v>
      </c>
      <c r="C32" s="121" t="str">
        <f>'TCO Model'!D164</f>
        <v>Setup</v>
      </c>
      <c r="D32" s="123">
        <v>0.48980179917786348</v>
      </c>
      <c r="E32" s="123">
        <v>0.4742402025413528</v>
      </c>
      <c r="F32" s="123">
        <v>-0.15763851506558879</v>
      </c>
      <c r="G32" s="123">
        <v>0.74014615896619151</v>
      </c>
      <c r="H32" s="124">
        <v>0.56359535080925982</v>
      </c>
      <c r="J32" s="84" t="s">
        <v>10</v>
      </c>
      <c r="K32" s="89">
        <v>0.5</v>
      </c>
      <c r="L32" s="89">
        <v>0.5</v>
      </c>
      <c r="M32" s="90">
        <v>0.5</v>
      </c>
    </row>
    <row r="33" spans="2:13">
      <c r="J33" s="95" t="s">
        <v>5</v>
      </c>
      <c r="K33" s="89">
        <v>0.22</v>
      </c>
      <c r="L33" s="89">
        <v>0.21</v>
      </c>
      <c r="M33" s="90">
        <v>0.2</v>
      </c>
    </row>
    <row r="34" spans="2:13">
      <c r="J34" s="104" t="s">
        <v>73</v>
      </c>
      <c r="K34" s="106">
        <f t="shared" ref="K34:M34" si="1">1-K33/(AVERAGE(K32))</f>
        <v>0.56000000000000005</v>
      </c>
      <c r="L34" s="106">
        <f t="shared" si="1"/>
        <v>0.58000000000000007</v>
      </c>
      <c r="M34" s="107">
        <f t="shared" si="1"/>
        <v>0.6</v>
      </c>
    </row>
    <row r="35" spans="2:13">
      <c r="B35" s="62" t="s">
        <v>103</v>
      </c>
      <c r="C35" s="63"/>
      <c r="D35" s="63"/>
      <c r="E35" s="63"/>
      <c r="F35" s="63"/>
      <c r="G35" s="63"/>
      <c r="H35" s="64"/>
    </row>
    <row r="36" spans="2:13">
      <c r="B36" s="13"/>
      <c r="C36" s="17" t="s">
        <v>13</v>
      </c>
      <c r="D36" s="19">
        <v>3</v>
      </c>
      <c r="E36" s="15"/>
      <c r="F36" s="17" t="s">
        <v>16</v>
      </c>
      <c r="G36" s="15"/>
      <c r="H36" s="126">
        <v>7500</v>
      </c>
    </row>
    <row r="37" spans="2:13">
      <c r="B37" s="13"/>
      <c r="C37" s="17" t="s">
        <v>20</v>
      </c>
      <c r="D37" s="19">
        <v>12</v>
      </c>
      <c r="E37" s="15"/>
      <c r="F37" s="17" t="s">
        <v>21</v>
      </c>
      <c r="G37" s="15"/>
      <c r="H37" s="128">
        <v>500</v>
      </c>
    </row>
    <row r="38" spans="2:13">
      <c r="B38" s="13"/>
      <c r="C38" s="34"/>
      <c r="D38" s="34"/>
      <c r="E38" s="34"/>
      <c r="F38" s="36"/>
      <c r="G38" s="36"/>
      <c r="H38" s="38"/>
      <c r="J38" s="130" t="s">
        <v>110</v>
      </c>
    </row>
    <row r="39" spans="2:13">
      <c r="B39" s="13"/>
      <c r="C39" s="20" t="s">
        <v>5</v>
      </c>
      <c r="D39" s="20" t="s">
        <v>6</v>
      </c>
      <c r="E39" s="20" t="s">
        <v>7</v>
      </c>
      <c r="F39" s="40" t="s">
        <v>8</v>
      </c>
      <c r="G39" s="40" t="s">
        <v>9</v>
      </c>
      <c r="H39" s="42" t="s">
        <v>10</v>
      </c>
    </row>
    <row r="40" spans="2:13">
      <c r="B40" s="44" t="s">
        <v>25</v>
      </c>
      <c r="C40" s="46">
        <v>0.24592152777777776</v>
      </c>
      <c r="D40" s="46">
        <v>0.54902777777777778</v>
      </c>
      <c r="E40" s="46">
        <v>0.62796851851851865</v>
      </c>
      <c r="F40" s="46">
        <v>0.39530296296296297</v>
      </c>
      <c r="G40" s="46">
        <v>0.87736203703703697</v>
      </c>
      <c r="H40" s="50">
        <v>0.50358986111111115</v>
      </c>
    </row>
    <row r="41" spans="2:13">
      <c r="B41" s="52" t="s">
        <v>28</v>
      </c>
      <c r="C41" s="131"/>
      <c r="D41" s="53">
        <v>0.55207816847963576</v>
      </c>
      <c r="E41" s="53">
        <v>0.60838557901286638</v>
      </c>
      <c r="F41" s="53">
        <v>0.37789100811566945</v>
      </c>
      <c r="G41" s="53">
        <v>0.71970347770199172</v>
      </c>
      <c r="H41" s="53">
        <v>0.51166306796729155</v>
      </c>
    </row>
    <row r="43" spans="2:13">
      <c r="B43" s="62" t="s">
        <v>115</v>
      </c>
      <c r="C43" s="133"/>
      <c r="D43" s="133"/>
      <c r="E43" s="133"/>
      <c r="F43" s="133"/>
      <c r="G43" s="133"/>
      <c r="H43" s="135"/>
    </row>
    <row r="44" spans="2:13">
      <c r="B44" s="13"/>
      <c r="C44" s="17" t="s">
        <v>13</v>
      </c>
      <c r="D44" s="19">
        <v>3</v>
      </c>
      <c r="E44" s="15"/>
      <c r="F44" s="17" t="s">
        <v>16</v>
      </c>
      <c r="G44" s="15"/>
      <c r="H44" s="128">
        <v>75000</v>
      </c>
    </row>
    <row r="45" spans="2:13">
      <c r="B45" s="13"/>
      <c r="C45" s="17" t="s">
        <v>20</v>
      </c>
      <c r="D45" s="19">
        <v>12</v>
      </c>
      <c r="E45" s="15"/>
      <c r="F45" s="17" t="s">
        <v>21</v>
      </c>
      <c r="G45" s="15"/>
      <c r="H45" s="128">
        <v>1000</v>
      </c>
    </row>
    <row r="46" spans="2:13">
      <c r="B46" s="13"/>
      <c r="C46" s="34"/>
      <c r="D46" s="34"/>
      <c r="E46" s="34"/>
      <c r="F46" s="36"/>
      <c r="G46" s="36"/>
      <c r="H46" s="38"/>
    </row>
    <row r="47" spans="2:13">
      <c r="B47" s="13"/>
      <c r="C47" s="20" t="s">
        <v>5</v>
      </c>
      <c r="D47" s="20" t="s">
        <v>6</v>
      </c>
      <c r="E47" s="20" t="s">
        <v>7</v>
      </c>
      <c r="F47" s="40" t="s">
        <v>8</v>
      </c>
      <c r="G47" s="40" t="s">
        <v>9</v>
      </c>
      <c r="H47" s="42" t="s">
        <v>10</v>
      </c>
    </row>
    <row r="48" spans="2:13">
      <c r="B48" s="44" t="s">
        <v>25</v>
      </c>
      <c r="C48" s="46">
        <v>0.20574430555555556</v>
      </c>
      <c r="D48" s="46">
        <v>0.4514055555555555</v>
      </c>
      <c r="E48" s="46">
        <v>0.47777055555555559</v>
      </c>
      <c r="F48" s="46">
        <v>0.38117259259259256</v>
      </c>
      <c r="G48" s="46">
        <v>0.84779240740740736</v>
      </c>
      <c r="H48" s="50">
        <v>0.50105863888888891</v>
      </c>
    </row>
    <row r="49" spans="2:8">
      <c r="B49" s="119" t="s">
        <v>28</v>
      </c>
      <c r="C49" s="121"/>
      <c r="D49" s="123">
        <v>0.54421405978856163</v>
      </c>
      <c r="E49" s="123">
        <v>0.5693658741353067</v>
      </c>
      <c r="F49" s="123">
        <v>0.46023321310653476</v>
      </c>
      <c r="G49" s="123">
        <v>0.75731758888389644</v>
      </c>
      <c r="H49" s="124">
        <v>0.58938078383041326</v>
      </c>
    </row>
    <row r="52" spans="2:8">
      <c r="B52" s="62" t="s">
        <v>121</v>
      </c>
      <c r="C52" s="63"/>
      <c r="D52" s="63"/>
      <c r="E52" s="63"/>
      <c r="F52" s="63"/>
      <c r="G52" s="63"/>
      <c r="H52" s="64"/>
    </row>
    <row r="53" spans="2:8">
      <c r="B53" s="13"/>
      <c r="C53" s="66" t="s">
        <v>13</v>
      </c>
      <c r="D53" s="66">
        <v>3</v>
      </c>
      <c r="F53" s="66" t="s">
        <v>16</v>
      </c>
      <c r="H53" s="68">
        <v>75000</v>
      </c>
    </row>
    <row r="54" spans="2:8">
      <c r="B54" s="13"/>
      <c r="C54" s="66" t="s">
        <v>20</v>
      </c>
      <c r="D54" s="66">
        <v>12</v>
      </c>
      <c r="F54" s="66" t="s">
        <v>21</v>
      </c>
      <c r="H54" s="108">
        <v>5000</v>
      </c>
    </row>
    <row r="55" spans="2:8">
      <c r="B55" s="13"/>
      <c r="F55" s="66"/>
      <c r="G55" s="66"/>
      <c r="H55" s="82"/>
    </row>
    <row r="56" spans="2:8">
      <c r="B56" s="13"/>
      <c r="C56" s="20" t="s">
        <v>5</v>
      </c>
      <c r="D56" s="20" t="s">
        <v>6</v>
      </c>
      <c r="E56" s="20" t="s">
        <v>7</v>
      </c>
      <c r="F56" s="40" t="s">
        <v>8</v>
      </c>
      <c r="G56" s="40" t="s">
        <v>9</v>
      </c>
      <c r="H56" s="42" t="s">
        <v>10</v>
      </c>
    </row>
    <row r="57" spans="2:8">
      <c r="B57" s="44" t="s">
        <v>25</v>
      </c>
      <c r="C57" s="46">
        <v>0.24592152777777776</v>
      </c>
      <c r="D57" s="46">
        <v>0.54902777777777778</v>
      </c>
      <c r="E57" s="46">
        <v>0.62796851851851865</v>
      </c>
      <c r="F57" s="46">
        <v>0.39530296296296297</v>
      </c>
      <c r="G57" s="46">
        <v>0.87736203703703697</v>
      </c>
      <c r="H57" s="50">
        <v>0.50233586111111106</v>
      </c>
    </row>
    <row r="58" spans="2:8">
      <c r="B58" s="52" t="s">
        <v>28</v>
      </c>
      <c r="C58" s="53"/>
      <c r="D58" s="53">
        <v>0.55207816847963576</v>
      </c>
      <c r="E58" s="53">
        <v>0.60838557901286638</v>
      </c>
      <c r="F58" s="53">
        <v>0.37789100811566945</v>
      </c>
      <c r="G58" s="53">
        <v>0.71970347770199172</v>
      </c>
      <c r="H58" s="53">
        <v>0.51044401402315431</v>
      </c>
    </row>
    <row r="60" spans="2:8">
      <c r="B60" s="62" t="s">
        <v>122</v>
      </c>
      <c r="C60" s="63"/>
      <c r="D60" s="63"/>
      <c r="E60" s="63"/>
      <c r="F60" s="63"/>
      <c r="G60" s="63"/>
      <c r="H60" s="64"/>
    </row>
    <row r="61" spans="2:8">
      <c r="B61" s="13"/>
      <c r="C61" s="17" t="s">
        <v>13</v>
      </c>
      <c r="D61" s="19">
        <v>3</v>
      </c>
      <c r="E61" s="15"/>
      <c r="F61" s="17" t="s">
        <v>16</v>
      </c>
      <c r="G61" s="15"/>
      <c r="H61" s="128">
        <v>75000</v>
      </c>
    </row>
    <row r="62" spans="2:8">
      <c r="B62" s="13"/>
      <c r="C62" s="17" t="s">
        <v>20</v>
      </c>
      <c r="D62" s="19">
        <v>12</v>
      </c>
      <c r="E62" s="15"/>
      <c r="F62" s="17" t="s">
        <v>21</v>
      </c>
      <c r="G62" s="15"/>
      <c r="H62" s="126">
        <v>50</v>
      </c>
    </row>
    <row r="63" spans="2:8">
      <c r="B63" s="13"/>
      <c r="C63" s="34"/>
      <c r="D63" s="34"/>
      <c r="E63" s="34"/>
      <c r="F63" s="36"/>
      <c r="G63" s="36"/>
      <c r="H63" s="38"/>
    </row>
    <row r="64" spans="2:8">
      <c r="B64" s="13"/>
      <c r="C64" s="20" t="s">
        <v>5</v>
      </c>
      <c r="D64" s="20" t="s">
        <v>6</v>
      </c>
      <c r="E64" s="20" t="s">
        <v>7</v>
      </c>
      <c r="F64" s="40" t="s">
        <v>8</v>
      </c>
      <c r="G64" s="40" t="s">
        <v>9</v>
      </c>
      <c r="H64" s="42" t="s">
        <v>10</v>
      </c>
    </row>
    <row r="65" spans="2:8">
      <c r="B65" s="136" t="s">
        <v>25</v>
      </c>
      <c r="C65" s="116">
        <v>0.21847721527777775</v>
      </c>
      <c r="D65" s="116">
        <v>0.42822027777777777</v>
      </c>
      <c r="E65" s="116">
        <v>0.4155456851851852</v>
      </c>
      <c r="F65" s="116">
        <v>0.18872662962962961</v>
      </c>
      <c r="G65" s="116">
        <v>0.84076962037037029</v>
      </c>
      <c r="H65" s="118">
        <v>0.50075529861111112</v>
      </c>
    </row>
    <row r="66" spans="2:8">
      <c r="B66" s="119" t="s">
        <v>28</v>
      </c>
      <c r="C66" s="121"/>
      <c r="D66" s="123">
        <v>0.48980179917786348</v>
      </c>
      <c r="E66" s="123">
        <v>0.4742402025413528</v>
      </c>
      <c r="F66" s="123">
        <v>-0.15763851506558879</v>
      </c>
      <c r="G66" s="123">
        <v>0.74014615896619151</v>
      </c>
      <c r="H66" s="124">
        <v>0.56370463600935716</v>
      </c>
    </row>
    <row r="69" spans="2:8">
      <c r="B69" s="62" t="s">
        <v>123</v>
      </c>
      <c r="C69" s="63"/>
      <c r="D69" s="63"/>
      <c r="E69" s="63"/>
      <c r="F69" s="63"/>
      <c r="G69" s="63"/>
      <c r="H69" s="64"/>
    </row>
    <row r="70" spans="2:8">
      <c r="B70" s="13"/>
      <c r="C70" s="66" t="s">
        <v>13</v>
      </c>
      <c r="D70" s="66">
        <v>3</v>
      </c>
      <c r="F70" s="66" t="s">
        <v>16</v>
      </c>
      <c r="H70" s="68">
        <v>75000</v>
      </c>
    </row>
    <row r="71" spans="2:8">
      <c r="B71" s="13"/>
      <c r="C71" s="66" t="s">
        <v>20</v>
      </c>
      <c r="D71" s="137">
        <v>30</v>
      </c>
      <c r="F71" s="66" t="s">
        <v>21</v>
      </c>
      <c r="H71" s="68">
        <v>500</v>
      </c>
    </row>
    <row r="72" spans="2:8">
      <c r="B72" s="13"/>
      <c r="F72" s="66"/>
      <c r="G72" s="66"/>
      <c r="H72" s="82"/>
    </row>
    <row r="73" spans="2:8">
      <c r="B73" s="13"/>
      <c r="C73" s="20" t="s">
        <v>5</v>
      </c>
      <c r="D73" s="20" t="s">
        <v>6</v>
      </c>
      <c r="E73" s="20" t="s">
        <v>7</v>
      </c>
      <c r="F73" s="40" t="s">
        <v>8</v>
      </c>
      <c r="G73" s="40" t="s">
        <v>9</v>
      </c>
      <c r="H73" s="42" t="s">
        <v>10</v>
      </c>
    </row>
    <row r="74" spans="2:8">
      <c r="B74" s="136" t="s">
        <v>25</v>
      </c>
      <c r="C74" s="116">
        <v>0.41327215277777773</v>
      </c>
      <c r="D74" s="116">
        <v>1.0122027777777778</v>
      </c>
      <c r="E74" s="116">
        <v>0.98745685185185172</v>
      </c>
      <c r="F74" s="116">
        <v>0.48746629629629629</v>
      </c>
      <c r="G74" s="116">
        <v>2.1046962037037034</v>
      </c>
      <c r="H74" s="118">
        <v>0.95929898611111108</v>
      </c>
    </row>
    <row r="75" spans="2:8">
      <c r="B75" s="119" t="s">
        <v>28</v>
      </c>
      <c r="C75" s="123"/>
      <c r="D75" s="123">
        <v>0.59171011792213357</v>
      </c>
      <c r="E75" s="123">
        <v>0.58147826712353301</v>
      </c>
      <c r="F75" s="123">
        <v>0.1522036376304079</v>
      </c>
      <c r="G75" s="123">
        <v>0.803642847813129</v>
      </c>
      <c r="H75" s="124">
        <v>0.56919358952610177</v>
      </c>
    </row>
    <row r="78" spans="2:8">
      <c r="B78" s="62" t="s">
        <v>126</v>
      </c>
      <c r="C78" s="63"/>
      <c r="D78" s="63"/>
      <c r="E78" s="63"/>
      <c r="F78" s="63"/>
      <c r="G78" s="63"/>
      <c r="H78" s="64"/>
    </row>
    <row r="79" spans="2:8">
      <c r="B79" s="13"/>
      <c r="C79" s="17" t="s">
        <v>13</v>
      </c>
      <c r="D79" s="28">
        <v>3</v>
      </c>
      <c r="E79" s="15"/>
      <c r="F79" s="17" t="s">
        <v>16</v>
      </c>
      <c r="G79" s="15"/>
      <c r="H79" s="138">
        <v>750000</v>
      </c>
    </row>
    <row r="80" spans="2:8">
      <c r="B80" s="13"/>
      <c r="C80" s="17" t="s">
        <v>20</v>
      </c>
      <c r="D80" s="28">
        <v>12</v>
      </c>
      <c r="E80" s="15"/>
      <c r="F80" s="17" t="s">
        <v>21</v>
      </c>
      <c r="G80" s="15"/>
      <c r="H80" s="138">
        <v>10000</v>
      </c>
    </row>
    <row r="81" spans="2:8">
      <c r="B81" s="13"/>
      <c r="C81" s="34"/>
      <c r="D81" s="34"/>
      <c r="E81" s="34"/>
      <c r="F81" s="36"/>
      <c r="G81" s="36"/>
      <c r="H81" s="38"/>
    </row>
    <row r="82" spans="2:8">
      <c r="B82" s="13"/>
      <c r="C82" s="20" t="s">
        <v>5</v>
      </c>
      <c r="D82" s="20" t="s">
        <v>6</v>
      </c>
      <c r="E82" s="20" t="s">
        <v>7</v>
      </c>
      <c r="F82" s="40" t="s">
        <v>8</v>
      </c>
      <c r="G82" s="40" t="s">
        <v>9</v>
      </c>
      <c r="H82" s="42" t="s">
        <v>10</v>
      </c>
    </row>
    <row r="83" spans="2:8">
      <c r="B83" s="44" t="s">
        <v>25</v>
      </c>
      <c r="C83" s="46">
        <v>0.22374430555555558</v>
      </c>
      <c r="D83" s="46">
        <v>0.4514055555555555</v>
      </c>
      <c r="E83" s="46">
        <v>0.47777055555555559</v>
      </c>
      <c r="F83" s="46">
        <v>0.22837259259259257</v>
      </c>
      <c r="G83" s="46">
        <v>0.84779240740740736</v>
      </c>
      <c r="H83" s="50">
        <v>0.50093323888888885</v>
      </c>
    </row>
    <row r="84" spans="2:8">
      <c r="B84" s="52" t="s">
        <v>28</v>
      </c>
      <c r="C84" s="131"/>
      <c r="D84" s="53">
        <v>0.50433860903597394</v>
      </c>
      <c r="E84" s="53">
        <v>0.53169088602502135</v>
      </c>
      <c r="F84" s="53">
        <v>2.0266385666049103E-2</v>
      </c>
      <c r="G84" s="53">
        <v>0.73608597623588401</v>
      </c>
      <c r="H84" s="53">
        <v>0.55334506040797193</v>
      </c>
    </row>
    <row r="87" spans="2:8">
      <c r="B87" s="139" t="s">
        <v>129</v>
      </c>
      <c r="C87" s="140"/>
      <c r="D87" s="140"/>
      <c r="E87" s="140"/>
      <c r="F87" s="141"/>
    </row>
    <row r="88" spans="2:8">
      <c r="B88" s="13"/>
      <c r="F88" s="82"/>
    </row>
    <row r="89" spans="2:8">
      <c r="B89" s="13"/>
      <c r="C89" s="20" t="s">
        <v>5</v>
      </c>
      <c r="D89" s="40" t="s">
        <v>131</v>
      </c>
      <c r="E89" s="40" t="s">
        <v>131</v>
      </c>
      <c r="F89" s="142" t="s">
        <v>131</v>
      </c>
    </row>
    <row r="90" spans="2:8">
      <c r="B90" s="136" t="s">
        <v>133</v>
      </c>
      <c r="C90" s="143">
        <f>'Inputs &amp; Assumptions'!H6</f>
        <v>0.02</v>
      </c>
      <c r="D90" s="144">
        <v>0.12</v>
      </c>
      <c r="E90" s="144">
        <v>0.08</v>
      </c>
      <c r="F90" s="145">
        <v>0.05</v>
      </c>
    </row>
    <row r="91" spans="2:8">
      <c r="B91" s="136" t="s">
        <v>25</v>
      </c>
      <c r="C91" s="116">
        <f>C11</f>
        <v>0.20047721527777779</v>
      </c>
      <c r="D91" s="120">
        <v>0.65</v>
      </c>
      <c r="E91" s="120">
        <v>0.5</v>
      </c>
      <c r="F91" s="146">
        <v>0.39</v>
      </c>
    </row>
    <row r="92" spans="2:8">
      <c r="B92" s="119" t="s">
        <v>28</v>
      </c>
      <c r="C92" s="121"/>
      <c r="D92" s="123">
        <f t="shared" ref="D92:F92" si="2">1-$C91/D91</f>
        <v>0.69157351495726493</v>
      </c>
      <c r="E92" s="123">
        <f t="shared" si="2"/>
        <v>0.59904556944444443</v>
      </c>
      <c r="F92" s="124">
        <f t="shared" si="2"/>
        <v>0.4859558582621083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4:N88"/>
  <sheetViews>
    <sheetView workbookViewId="0"/>
  </sheetViews>
  <sheetFormatPr baseColWidth="10" defaultColWidth="11.1640625" defaultRowHeight="15" customHeight="1"/>
  <cols>
    <col min="2" max="2" width="18.1640625" customWidth="1"/>
  </cols>
  <sheetData>
    <row r="4" spans="2:14" ht="15" customHeight="1">
      <c r="B4" s="1" t="s">
        <v>0</v>
      </c>
      <c r="C4" s="2"/>
      <c r="D4" s="2"/>
      <c r="E4" s="4"/>
      <c r="H4" s="6" t="s">
        <v>2</v>
      </c>
      <c r="I4" s="8"/>
      <c r="J4" s="8"/>
      <c r="K4" s="8"/>
    </row>
    <row r="5" spans="2:14">
      <c r="B5" s="10" t="s">
        <v>4</v>
      </c>
      <c r="C5" s="12"/>
      <c r="D5" s="12"/>
      <c r="E5" s="14"/>
      <c r="H5" s="16" t="s">
        <v>5</v>
      </c>
      <c r="I5" s="16" t="s">
        <v>6</v>
      </c>
      <c r="J5" s="16" t="s">
        <v>7</v>
      </c>
      <c r="K5" s="18" t="s">
        <v>8</v>
      </c>
      <c r="L5" s="18" t="s">
        <v>9</v>
      </c>
      <c r="M5" s="16" t="s">
        <v>10</v>
      </c>
      <c r="N5" s="20" t="s">
        <v>11</v>
      </c>
    </row>
    <row r="6" spans="2:14">
      <c r="B6" s="22"/>
      <c r="C6" s="24" t="s">
        <v>12</v>
      </c>
      <c r="D6" s="24" t="s">
        <v>14</v>
      </c>
      <c r="E6" s="25"/>
      <c r="H6" s="26">
        <v>0.02</v>
      </c>
      <c r="I6" s="26">
        <v>0.06</v>
      </c>
      <c r="J6" s="26">
        <v>0.06</v>
      </c>
      <c r="K6" s="26">
        <v>0.02</v>
      </c>
      <c r="L6" s="27">
        <v>0.12</v>
      </c>
      <c r="M6" s="27">
        <v>0.08</v>
      </c>
      <c r="N6" s="29" t="s">
        <v>15</v>
      </c>
    </row>
    <row r="7" spans="2:14">
      <c r="B7" s="22" t="s">
        <v>17</v>
      </c>
      <c r="C7" s="30">
        <v>1.5</v>
      </c>
      <c r="D7" s="30"/>
      <c r="E7" s="25"/>
    </row>
    <row r="8" spans="2:14">
      <c r="B8" s="22" t="s">
        <v>10</v>
      </c>
      <c r="C8" s="30">
        <v>6.5</v>
      </c>
      <c r="D8" s="30"/>
      <c r="E8" s="25"/>
    </row>
    <row r="9" spans="2:14">
      <c r="B9" s="22" t="s">
        <v>18</v>
      </c>
      <c r="C9" s="30"/>
      <c r="D9" s="30">
        <v>1.2</v>
      </c>
      <c r="E9" s="25"/>
    </row>
    <row r="10" spans="2:14">
      <c r="B10" s="22" t="s">
        <v>19</v>
      </c>
      <c r="C10" s="30"/>
      <c r="D10" s="30">
        <f>D9*2</f>
        <v>2.4</v>
      </c>
      <c r="E10" s="25"/>
    </row>
    <row r="11" spans="2:14">
      <c r="B11" s="32" t="s">
        <v>5</v>
      </c>
      <c r="C11" s="33">
        <v>3</v>
      </c>
      <c r="D11" s="35">
        <v>0.6</v>
      </c>
      <c r="E11" s="25"/>
    </row>
    <row r="12" spans="2:14">
      <c r="B12" s="22"/>
      <c r="C12" s="30"/>
      <c r="D12" s="30"/>
      <c r="E12" s="25"/>
    </row>
    <row r="13" spans="2:14">
      <c r="B13" s="10" t="s">
        <v>22</v>
      </c>
      <c r="C13" s="12"/>
      <c r="D13" s="37"/>
      <c r="E13" s="14"/>
    </row>
    <row r="14" spans="2:14">
      <c r="B14" s="39" t="s">
        <v>23</v>
      </c>
      <c r="C14" s="41">
        <f>'TCO Model'!E6</f>
        <v>3</v>
      </c>
      <c r="D14" s="43" t="s">
        <v>24</v>
      </c>
      <c r="E14" s="45"/>
    </row>
    <row r="15" spans="2:14">
      <c r="B15" s="47" t="s">
        <v>26</v>
      </c>
      <c r="C15" s="30">
        <f>'TCO Model'!C6</f>
        <v>12</v>
      </c>
      <c r="D15" s="43" t="s">
        <v>24</v>
      </c>
      <c r="E15" s="25"/>
    </row>
    <row r="16" spans="2:14">
      <c r="B16" s="48"/>
      <c r="C16" s="49" t="s">
        <v>27</v>
      </c>
      <c r="D16" s="49"/>
      <c r="E16" s="51"/>
    </row>
    <row r="17" spans="2:5">
      <c r="B17" s="22" t="s">
        <v>17</v>
      </c>
      <c r="C17" s="30">
        <f>C14*C7</f>
        <v>4.5</v>
      </c>
      <c r="D17" s="30"/>
      <c r="E17" s="25"/>
    </row>
    <row r="18" spans="2:5">
      <c r="B18" s="22" t="s">
        <v>10</v>
      </c>
      <c r="C18" s="30">
        <f>C8*C14</f>
        <v>19.5</v>
      </c>
      <c r="D18" s="54"/>
      <c r="E18" s="25"/>
    </row>
    <row r="19" spans="2:5">
      <c r="B19" s="22"/>
      <c r="C19" s="30"/>
      <c r="D19" s="30"/>
      <c r="E19" s="25"/>
    </row>
    <row r="20" spans="2:5">
      <c r="B20" s="22" t="s">
        <v>18</v>
      </c>
      <c r="C20" s="30">
        <f>D9*C15</f>
        <v>14.399999999999999</v>
      </c>
      <c r="D20" s="54"/>
      <c r="E20" s="25"/>
    </row>
    <row r="21" spans="2:5">
      <c r="B21" s="22" t="s">
        <v>19</v>
      </c>
      <c r="C21" s="30">
        <f>C20*2</f>
        <v>28.799999999999997</v>
      </c>
      <c r="D21" s="54"/>
      <c r="E21" s="25"/>
    </row>
    <row r="22" spans="2:5">
      <c r="B22" s="32" t="s">
        <v>5</v>
      </c>
      <c r="C22" s="33">
        <f>C11*C14+D11*C15</f>
        <v>16.2</v>
      </c>
      <c r="D22" s="56"/>
      <c r="E22" s="25"/>
    </row>
    <row r="23" spans="2:5">
      <c r="B23" s="58"/>
      <c r="C23" s="59"/>
      <c r="D23" s="59"/>
      <c r="E23" s="61"/>
    </row>
    <row r="26" spans="2:5" ht="15" customHeight="1">
      <c r="B26" s="77" t="s">
        <v>33</v>
      </c>
      <c r="C26" s="79"/>
      <c r="D26" s="79"/>
      <c r="E26" s="79"/>
    </row>
    <row r="27" spans="2:5">
      <c r="B27" t="s">
        <v>41</v>
      </c>
    </row>
    <row r="28" spans="2:5">
      <c r="B28" t="s">
        <v>42</v>
      </c>
      <c r="E28" s="17">
        <v>0.25</v>
      </c>
    </row>
    <row r="29" spans="2:5">
      <c r="B29" t="s">
        <v>43</v>
      </c>
    </row>
    <row r="30" spans="2:5">
      <c r="B30" t="s">
        <v>44</v>
      </c>
    </row>
    <row r="33" spans="2:12">
      <c r="B33" s="12" t="s">
        <v>45</v>
      </c>
      <c r="C33" s="12"/>
      <c r="D33" s="12"/>
      <c r="E33" s="12"/>
    </row>
    <row r="34" spans="2:12">
      <c r="B34" s="74">
        <f>50*12</f>
        <v>600</v>
      </c>
      <c r="C34" t="s">
        <v>46</v>
      </c>
    </row>
    <row r="36" spans="2:12">
      <c r="B36" s="74">
        <v>20</v>
      </c>
      <c r="C36" t="s">
        <v>47</v>
      </c>
    </row>
    <row r="37" spans="2:12">
      <c r="B37" s="83"/>
    </row>
    <row r="38" spans="2:12">
      <c r="B38" s="86">
        <f>(D9/100)*B34</f>
        <v>7.2</v>
      </c>
      <c r="C38" s="17" t="s">
        <v>52</v>
      </c>
    </row>
    <row r="40" spans="2:12">
      <c r="B40" s="87" t="s">
        <v>53</v>
      </c>
      <c r="C40" s="87"/>
      <c r="D40" s="87"/>
      <c r="E40" s="87"/>
      <c r="H40" s="30"/>
      <c r="I40" s="30"/>
      <c r="J40" s="88"/>
      <c r="K40" s="30"/>
    </row>
    <row r="41" spans="2:12">
      <c r="B41" s="92">
        <v>0.7</v>
      </c>
      <c r="C41" t="s">
        <v>6</v>
      </c>
      <c r="D41" s="92">
        <v>0.6</v>
      </c>
      <c r="E41" t="s">
        <v>59</v>
      </c>
    </row>
    <row r="42" spans="2:12">
      <c r="B42" t="s">
        <v>60</v>
      </c>
      <c r="L42" s="30"/>
    </row>
    <row r="45" spans="2:12" ht="15" customHeight="1">
      <c r="B45" s="77" t="s">
        <v>62</v>
      </c>
      <c r="C45" s="94"/>
      <c r="D45" s="94"/>
      <c r="E45" s="94"/>
    </row>
    <row r="47" spans="2:12">
      <c r="B47" s="96" t="s">
        <v>65</v>
      </c>
      <c r="C47" s="98"/>
      <c r="D47" s="99" t="s">
        <v>66</v>
      </c>
      <c r="E47" s="99" t="s">
        <v>68</v>
      </c>
      <c r="F47" s="99" t="s">
        <v>69</v>
      </c>
      <c r="G47" s="99" t="s">
        <v>70</v>
      </c>
      <c r="H47" s="99" t="s">
        <v>71</v>
      </c>
    </row>
    <row r="48" spans="2:12">
      <c r="B48" t="s">
        <v>72</v>
      </c>
      <c r="D48" s="101">
        <v>98000</v>
      </c>
      <c r="E48" s="101">
        <v>152000</v>
      </c>
      <c r="F48" s="101">
        <f t="shared" ref="F48:F53" si="0">((D48+E48)/2)*1.05</f>
        <v>131250</v>
      </c>
      <c r="G48" s="103">
        <f t="shared" ref="G48:G53" si="1">F48/2080</f>
        <v>63.10096153846154</v>
      </c>
      <c r="H48" s="105">
        <v>63</v>
      </c>
    </row>
    <row r="49" spans="2:8">
      <c r="B49" s="85" t="s">
        <v>74</v>
      </c>
      <c r="D49" s="101">
        <v>66000</v>
      </c>
      <c r="E49" s="101">
        <v>94000</v>
      </c>
      <c r="F49" s="101">
        <f t="shared" si="0"/>
        <v>84000</v>
      </c>
      <c r="G49" s="103">
        <f t="shared" si="1"/>
        <v>40.384615384615387</v>
      </c>
      <c r="H49" s="105">
        <v>40</v>
      </c>
    </row>
    <row r="50" spans="2:8">
      <c r="B50" t="s">
        <v>75</v>
      </c>
      <c r="D50" s="101">
        <v>67000</v>
      </c>
      <c r="E50" s="101">
        <v>105000</v>
      </c>
      <c r="F50" s="101">
        <f t="shared" si="0"/>
        <v>90300</v>
      </c>
      <c r="G50" s="103">
        <f t="shared" si="1"/>
        <v>43.41346153846154</v>
      </c>
      <c r="H50" s="105">
        <v>43</v>
      </c>
    </row>
    <row r="51" spans="2:8">
      <c r="B51" s="17" t="s">
        <v>76</v>
      </c>
      <c r="D51" s="101">
        <v>86000</v>
      </c>
      <c r="E51" s="101">
        <v>125000</v>
      </c>
      <c r="F51" s="101">
        <f t="shared" si="0"/>
        <v>110775</v>
      </c>
      <c r="G51" s="103">
        <f t="shared" si="1"/>
        <v>53.25721153846154</v>
      </c>
      <c r="H51" s="105">
        <v>53</v>
      </c>
    </row>
    <row r="52" spans="2:8">
      <c r="B52" s="97" t="s">
        <v>77</v>
      </c>
      <c r="D52" s="101">
        <v>78000</v>
      </c>
      <c r="E52" s="101">
        <v>119000</v>
      </c>
      <c r="F52" s="101">
        <f t="shared" si="0"/>
        <v>103425</v>
      </c>
      <c r="G52" s="103">
        <f t="shared" si="1"/>
        <v>49.723557692307693</v>
      </c>
      <c r="H52" s="105">
        <v>50</v>
      </c>
    </row>
    <row r="53" spans="2:8">
      <c r="B53" s="97" t="s">
        <v>79</v>
      </c>
      <c r="D53" s="101">
        <v>78000</v>
      </c>
      <c r="E53" s="101">
        <v>119000</v>
      </c>
      <c r="F53" s="101">
        <f t="shared" si="0"/>
        <v>103425</v>
      </c>
      <c r="G53" s="103">
        <f t="shared" si="1"/>
        <v>49.723557692307693</v>
      </c>
      <c r="H53" s="105">
        <v>50</v>
      </c>
    </row>
    <row r="54" spans="2:8">
      <c r="B54" s="109" t="s">
        <v>82</v>
      </c>
    </row>
    <row r="57" spans="2:8">
      <c r="B57" s="96" t="s">
        <v>65</v>
      </c>
      <c r="C57" s="98"/>
      <c r="D57" s="99" t="s">
        <v>66</v>
      </c>
      <c r="E57" s="99" t="s">
        <v>68</v>
      </c>
      <c r="F57" s="99" t="s">
        <v>69</v>
      </c>
      <c r="G57" s="99" t="s">
        <v>70</v>
      </c>
      <c r="H57" s="99" t="s">
        <v>71</v>
      </c>
    </row>
    <row r="58" spans="2:8">
      <c r="B58" s="97" t="s">
        <v>84</v>
      </c>
      <c r="D58" s="101">
        <f>14*2080</f>
        <v>29120</v>
      </c>
      <c r="E58" s="101">
        <f>20*2080</f>
        <v>41600</v>
      </c>
      <c r="F58" s="101">
        <f>((D58+E58)/2)*1.05</f>
        <v>37128</v>
      </c>
      <c r="G58" s="103">
        <f t="shared" ref="G58:G59" si="2">F58/2080</f>
        <v>17.850000000000001</v>
      </c>
      <c r="H58" s="105">
        <v>18</v>
      </c>
    </row>
    <row r="59" spans="2:8">
      <c r="B59" s="17" t="s">
        <v>90</v>
      </c>
      <c r="D59" s="117">
        <v>39211</v>
      </c>
      <c r="E59" s="117">
        <v>53141</v>
      </c>
      <c r="F59" s="117">
        <v>45324</v>
      </c>
      <c r="G59" s="103">
        <f t="shared" si="2"/>
        <v>21.790384615384614</v>
      </c>
      <c r="H59" s="120">
        <v>22</v>
      </c>
    </row>
    <row r="60" spans="2:8">
      <c r="B60" s="122" t="s">
        <v>93</v>
      </c>
    </row>
    <row r="63" spans="2:8" ht="15" customHeight="1">
      <c r="B63" s="77" t="s">
        <v>95</v>
      </c>
      <c r="C63" s="94"/>
      <c r="D63" s="94"/>
      <c r="E63" s="94"/>
    </row>
    <row r="64" spans="2:8" ht="16">
      <c r="B64" s="67" t="s">
        <v>96</v>
      </c>
    </row>
    <row r="65" spans="2:6" ht="16">
      <c r="B65" s="125" t="s">
        <v>10</v>
      </c>
      <c r="C65" s="125">
        <v>6.5</v>
      </c>
      <c r="D65" s="125" t="s">
        <v>97</v>
      </c>
      <c r="E65" s="125"/>
      <c r="F65" s="125"/>
    </row>
    <row r="66" spans="2:6" ht="16">
      <c r="B66" s="125"/>
      <c r="C66" s="125">
        <v>5</v>
      </c>
      <c r="D66" s="125" t="s">
        <v>98</v>
      </c>
      <c r="E66" s="125"/>
      <c r="F66" s="125"/>
    </row>
    <row r="67" spans="2:6" ht="16">
      <c r="B67" s="30" t="s">
        <v>99</v>
      </c>
      <c r="C67" s="30">
        <v>1.5</v>
      </c>
      <c r="D67" s="30" t="s">
        <v>100</v>
      </c>
      <c r="E67" s="30"/>
      <c r="F67" s="30"/>
    </row>
    <row r="68" spans="2:6" ht="16">
      <c r="B68" s="30"/>
      <c r="C68" s="30">
        <v>0.6</v>
      </c>
      <c r="D68" s="30" t="s">
        <v>102</v>
      </c>
      <c r="E68" s="30"/>
      <c r="F68" s="30"/>
    </row>
    <row r="69" spans="2:6" ht="16">
      <c r="B69" s="125" t="s">
        <v>104</v>
      </c>
      <c r="C69" s="125">
        <v>1.5</v>
      </c>
      <c r="D69" s="125" t="s">
        <v>97</v>
      </c>
      <c r="E69" s="125"/>
      <c r="F69" s="125"/>
    </row>
    <row r="70" spans="2:6" ht="16">
      <c r="B70" s="125"/>
      <c r="C70" s="125">
        <v>0.6</v>
      </c>
      <c r="D70" s="125" t="s">
        <v>102</v>
      </c>
      <c r="E70" s="125"/>
      <c r="F70" s="125"/>
    </row>
    <row r="71" spans="2:6" ht="16">
      <c r="B71" s="30" t="s">
        <v>105</v>
      </c>
      <c r="C71" s="30">
        <v>2.8</v>
      </c>
      <c r="D71" s="30" t="s">
        <v>106</v>
      </c>
      <c r="E71" s="30"/>
      <c r="F71" s="30"/>
    </row>
    <row r="72" spans="2:6" ht="16">
      <c r="B72" s="30"/>
      <c r="C72" s="30">
        <v>2.8</v>
      </c>
      <c r="D72" s="30" t="s">
        <v>102</v>
      </c>
      <c r="E72" s="30"/>
      <c r="F72" s="30"/>
    </row>
    <row r="73" spans="2:6" ht="34">
      <c r="B73" s="127" t="s">
        <v>107</v>
      </c>
      <c r="C73" s="30">
        <v>3.5</v>
      </c>
      <c r="D73" s="30" t="s">
        <v>108</v>
      </c>
    </row>
    <row r="75" spans="2:6" ht="16">
      <c r="B75" s="129" t="s">
        <v>109</v>
      </c>
    </row>
    <row r="77" spans="2:6" ht="16">
      <c r="B77" t="s">
        <v>111</v>
      </c>
    </row>
    <row r="78" spans="2:6" ht="16">
      <c r="B78" t="s">
        <v>112</v>
      </c>
    </row>
    <row r="79" spans="2:6" ht="16">
      <c r="B79" t="s">
        <v>113</v>
      </c>
    </row>
    <row r="81" spans="2:8" ht="16">
      <c r="B81" t="s">
        <v>114</v>
      </c>
      <c r="H81" s="132"/>
    </row>
    <row r="82" spans="2:8" ht="16">
      <c r="B82" s="134" t="s">
        <v>116</v>
      </c>
      <c r="H82" s="132"/>
    </row>
    <row r="83" spans="2:8" ht="16">
      <c r="B83" s="134" t="s">
        <v>118</v>
      </c>
      <c r="H83" s="30"/>
    </row>
    <row r="84" spans="2:8" ht="16">
      <c r="B84" s="134" t="s">
        <v>119</v>
      </c>
      <c r="H84" s="30"/>
    </row>
    <row r="85" spans="2:8" ht="16">
      <c r="H85" s="132"/>
    </row>
    <row r="86" spans="2:8" ht="16">
      <c r="H86" s="132"/>
    </row>
    <row r="87" spans="2:8" ht="16">
      <c r="H87" s="30"/>
    </row>
    <row r="88" spans="2:8" ht="16">
      <c r="H88" s="30"/>
    </row>
  </sheetData>
  <hyperlinks>
    <hyperlink ref="B82" r:id="rId1" xr:uid="{00000000-0004-0000-0200-000000000000}"/>
    <hyperlink ref="B83" r:id="rId2" xr:uid="{00000000-0004-0000-0200-000001000000}"/>
    <hyperlink ref="B84" r:id="rId3" xr:uid="{00000000-0004-0000-02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TCO Model</vt:lpstr>
      <vt:lpstr>Scenarios</vt:lpstr>
      <vt:lpstr>Inputs &amp; Assumptions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Dante Silliman</cp:lastModifiedBy>
  <dcterms:created xsi:type="dcterms:W3CDTF">2019-01-09T22:28:27Z</dcterms:created>
  <dcterms:modified xsi:type="dcterms:W3CDTF">2019-01-09T22:29:52Z</dcterms:modified>
</cp:coreProperties>
</file>